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D92FCEB2-2C5B-40E6-AAB7-47C96AEFADE1}" xr6:coauthVersionLast="47" xr6:coauthVersionMax="47" xr10:uidLastSave="{00000000-0000-0000-0000-000000000000}"/>
  <bookViews>
    <workbookView xWindow="-120" yWindow="-120" windowWidth="20730" windowHeight="11760" tabRatio="36" xr2:uid="{00000000-000D-0000-FFFF-FFFF00000000}"/>
  </bookViews>
  <sheets>
    <sheet name="Sheet1" sheetId="1" r:id="rId1"/>
  </sheets>
  <calcPr calcId="181029" iterateDelta="1E-4"/>
</workbook>
</file>

<file path=xl/calcChain.xml><?xml version="1.0" encoding="utf-8"?>
<calcChain xmlns="http://schemas.openxmlformats.org/spreadsheetml/2006/main">
  <c r="G75" i="1" l="1"/>
  <c r="H75" i="1" s="1"/>
  <c r="I75" i="1" s="1"/>
  <c r="J75" i="1" s="1"/>
  <c r="D75" i="1"/>
  <c r="G74" i="1"/>
  <c r="D74" i="1"/>
  <c r="G73" i="1"/>
  <c r="D73" i="1"/>
  <c r="H72" i="1"/>
  <c r="I72" i="1" s="1"/>
  <c r="J72" i="1" s="1"/>
  <c r="G72" i="1"/>
  <c r="D72" i="1"/>
  <c r="H71" i="1"/>
  <c r="I71" i="1" s="1"/>
  <c r="J71" i="1" s="1"/>
  <c r="G71" i="1"/>
  <c r="D71" i="1"/>
  <c r="G70" i="1"/>
  <c r="H70" i="1" s="1"/>
  <c r="I70" i="1" s="1"/>
  <c r="J70" i="1" s="1"/>
  <c r="D70" i="1"/>
  <c r="G69" i="1"/>
  <c r="D69" i="1"/>
  <c r="G68" i="1"/>
  <c r="D68" i="1"/>
  <c r="G67" i="1"/>
  <c r="D67" i="1"/>
  <c r="H66" i="1"/>
  <c r="I66" i="1" s="1"/>
  <c r="J66" i="1" s="1"/>
  <c r="G66" i="1"/>
  <c r="D66" i="1"/>
  <c r="G65" i="1"/>
  <c r="H65" i="1" s="1"/>
  <c r="I65" i="1" s="1"/>
  <c r="J65" i="1" s="1"/>
  <c r="D65" i="1"/>
  <c r="G64" i="1"/>
  <c r="D64" i="1"/>
  <c r="G63" i="1"/>
  <c r="D63" i="1"/>
  <c r="H62" i="1"/>
  <c r="I62" i="1" s="1"/>
  <c r="J62" i="1" s="1"/>
  <c r="G62" i="1"/>
  <c r="D62" i="1"/>
  <c r="H61" i="1"/>
  <c r="I61" i="1" s="1"/>
  <c r="J61" i="1" s="1"/>
  <c r="G61" i="1"/>
  <c r="D61" i="1"/>
  <c r="G60" i="1"/>
  <c r="H60" i="1" s="1"/>
  <c r="I60" i="1" s="1"/>
  <c r="J60" i="1" s="1"/>
  <c r="D60" i="1"/>
  <c r="G59" i="1"/>
  <c r="D59" i="1"/>
  <c r="G58" i="1"/>
  <c r="D58" i="1"/>
  <c r="H57" i="1"/>
  <c r="I57" i="1" s="1"/>
  <c r="J57" i="1" s="1"/>
  <c r="G57" i="1"/>
  <c r="D57" i="1"/>
  <c r="G56" i="1"/>
  <c r="H56" i="1" s="1"/>
  <c r="I56" i="1" s="1"/>
  <c r="J56" i="1" s="1"/>
  <c r="D56" i="1"/>
  <c r="G55" i="1"/>
  <c r="D55" i="1"/>
  <c r="G54" i="1"/>
  <c r="D54" i="1"/>
  <c r="H53" i="1"/>
  <c r="I53" i="1" s="1"/>
  <c r="J53" i="1" s="1"/>
  <c r="G53" i="1"/>
  <c r="D53" i="1"/>
  <c r="H52" i="1"/>
  <c r="I52" i="1" s="1"/>
  <c r="J52" i="1" s="1"/>
  <c r="G52" i="1"/>
  <c r="D52" i="1"/>
  <c r="G51" i="1"/>
  <c r="H51" i="1" s="1"/>
  <c r="I51" i="1" s="1"/>
  <c r="J51" i="1" s="1"/>
  <c r="D51" i="1"/>
  <c r="J50" i="1"/>
  <c r="H50" i="1"/>
  <c r="I50" i="1" s="1"/>
  <c r="G50" i="1"/>
  <c r="D50" i="1"/>
  <c r="I49" i="1"/>
  <c r="J49" i="1" s="1"/>
  <c r="G49" i="1"/>
  <c r="H49" i="1" s="1"/>
  <c r="D49" i="1"/>
  <c r="I48" i="1"/>
  <c r="J48" i="1" s="1"/>
  <c r="G48" i="1"/>
  <c r="H48" i="1" s="1"/>
  <c r="D48" i="1"/>
  <c r="H47" i="1"/>
  <c r="I47" i="1" s="1"/>
  <c r="J47" i="1" s="1"/>
  <c r="G47" i="1"/>
  <c r="D47" i="1"/>
  <c r="G46" i="1"/>
  <c r="H46" i="1" s="1"/>
  <c r="I46" i="1" s="1"/>
  <c r="J46" i="1" s="1"/>
  <c r="D46" i="1"/>
  <c r="J45" i="1"/>
  <c r="H45" i="1"/>
  <c r="I45" i="1" s="1"/>
  <c r="G45" i="1"/>
  <c r="D45" i="1"/>
  <c r="I44" i="1"/>
  <c r="J44" i="1" s="1"/>
  <c r="G44" i="1"/>
  <c r="H44" i="1" s="1"/>
  <c r="D44" i="1"/>
  <c r="H43" i="1"/>
  <c r="I43" i="1" s="1"/>
  <c r="J43" i="1" s="1"/>
  <c r="G43" i="1"/>
  <c r="D43" i="1"/>
  <c r="G42" i="1"/>
  <c r="H42" i="1" s="1"/>
  <c r="I42" i="1" s="1"/>
  <c r="J42" i="1" s="1"/>
  <c r="D42" i="1"/>
  <c r="G41" i="1"/>
  <c r="H41" i="1" s="1"/>
  <c r="I41" i="1" s="1"/>
  <c r="J41" i="1" s="1"/>
  <c r="D41" i="1"/>
  <c r="J40" i="1"/>
  <c r="H40" i="1"/>
  <c r="I40" i="1" s="1"/>
  <c r="G40" i="1"/>
  <c r="D40" i="1"/>
  <c r="I39" i="1"/>
  <c r="J39" i="1" s="1"/>
  <c r="G39" i="1"/>
  <c r="H39" i="1" s="1"/>
  <c r="D39" i="1"/>
  <c r="H38" i="1"/>
  <c r="I38" i="1" s="1"/>
  <c r="J38" i="1" s="1"/>
  <c r="G38" i="1"/>
  <c r="D38" i="1"/>
  <c r="G37" i="1"/>
  <c r="H37" i="1" s="1"/>
  <c r="I37" i="1" s="1"/>
  <c r="J37" i="1" s="1"/>
  <c r="D37" i="1"/>
  <c r="J36" i="1"/>
  <c r="H36" i="1"/>
  <c r="I36" i="1" s="1"/>
  <c r="G36" i="1"/>
  <c r="D36" i="1"/>
  <c r="J35" i="1"/>
  <c r="H35" i="1"/>
  <c r="I35" i="1" s="1"/>
  <c r="G35" i="1"/>
  <c r="D35" i="1"/>
  <c r="I34" i="1"/>
  <c r="J34" i="1" s="1"/>
  <c r="G34" i="1"/>
  <c r="H34" i="1" s="1"/>
  <c r="D34" i="1"/>
  <c r="H33" i="1"/>
  <c r="I33" i="1" s="1"/>
  <c r="J33" i="1" s="1"/>
  <c r="G33" i="1"/>
  <c r="D33" i="1"/>
  <c r="G32" i="1"/>
  <c r="H32" i="1" s="1"/>
  <c r="I32" i="1" s="1"/>
  <c r="J32" i="1" s="1"/>
  <c r="D32" i="1"/>
  <c r="J31" i="1"/>
  <c r="H31" i="1"/>
  <c r="I31" i="1" s="1"/>
  <c r="G31" i="1"/>
  <c r="D31" i="1"/>
  <c r="I30" i="1"/>
  <c r="J30" i="1" s="1"/>
  <c r="G30" i="1"/>
  <c r="H30" i="1" s="1"/>
  <c r="D30" i="1"/>
  <c r="H29" i="1"/>
  <c r="I29" i="1" s="1"/>
  <c r="J29" i="1" s="1"/>
  <c r="G29" i="1"/>
  <c r="D29" i="1"/>
  <c r="G28" i="1"/>
  <c r="H28" i="1" s="1"/>
  <c r="I28" i="1" s="1"/>
  <c r="J28" i="1" s="1"/>
  <c r="D28" i="1"/>
  <c r="J27" i="1"/>
  <c r="H27" i="1"/>
  <c r="I27" i="1" s="1"/>
  <c r="G27" i="1"/>
  <c r="D27" i="1"/>
  <c r="I26" i="1"/>
  <c r="J26" i="1" s="1"/>
  <c r="G26" i="1"/>
  <c r="H26" i="1" s="1"/>
  <c r="D26" i="1"/>
  <c r="L25" i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H25" i="1"/>
  <c r="I25" i="1" s="1"/>
  <c r="J25" i="1" s="1"/>
  <c r="G25" i="1"/>
  <c r="D25" i="1"/>
  <c r="G24" i="1"/>
  <c r="H24" i="1" s="1"/>
  <c r="I24" i="1" s="1"/>
  <c r="J24" i="1" s="1"/>
  <c r="D24" i="1"/>
  <c r="L23" i="1"/>
  <c r="L24" i="1" s="1"/>
  <c r="J23" i="1"/>
  <c r="H23" i="1"/>
  <c r="I23" i="1" s="1"/>
  <c r="G23" i="1"/>
  <c r="D23" i="1"/>
  <c r="L22" i="1"/>
  <c r="G22" i="1"/>
  <c r="H22" i="1" s="1"/>
  <c r="I22" i="1" s="1"/>
  <c r="J22" i="1" s="1"/>
  <c r="D22" i="1"/>
  <c r="A12" i="1"/>
  <c r="A11" i="1"/>
  <c r="A20" i="1" s="1"/>
  <c r="B20" i="1" s="1"/>
  <c r="A13" i="1" l="1"/>
  <c r="A18" i="1"/>
  <c r="H54" i="1"/>
  <c r="I54" i="1" s="1"/>
  <c r="J54" i="1" s="1"/>
  <c r="H55" i="1"/>
  <c r="I55" i="1" s="1"/>
  <c r="J55" i="1" s="1"/>
  <c r="H58" i="1"/>
  <c r="I58" i="1" s="1"/>
  <c r="J58" i="1" s="1"/>
  <c r="H59" i="1"/>
  <c r="I59" i="1" s="1"/>
  <c r="J59" i="1" s="1"/>
  <c r="H63" i="1"/>
  <c r="I63" i="1" s="1"/>
  <c r="J63" i="1" s="1"/>
  <c r="H64" i="1"/>
  <c r="I64" i="1" s="1"/>
  <c r="J64" i="1" s="1"/>
  <c r="H67" i="1"/>
  <c r="I67" i="1" s="1"/>
  <c r="J67" i="1" s="1"/>
  <c r="H68" i="1"/>
  <c r="I68" i="1" s="1"/>
  <c r="J68" i="1" s="1"/>
  <c r="H69" i="1"/>
  <c r="I69" i="1" s="1"/>
  <c r="J69" i="1" s="1"/>
  <c r="H73" i="1"/>
  <c r="I73" i="1" s="1"/>
  <c r="J73" i="1" s="1"/>
  <c r="H74" i="1"/>
  <c r="I74" i="1" s="1"/>
  <c r="J74" i="1" s="1"/>
  <c r="A16" i="1" l="1"/>
  <c r="B18" i="1"/>
  <c r="K74" i="1"/>
  <c r="K72" i="1"/>
  <c r="K71" i="1"/>
  <c r="K69" i="1"/>
  <c r="K68" i="1"/>
  <c r="K66" i="1"/>
  <c r="K64" i="1"/>
  <c r="K62" i="1"/>
  <c r="K61" i="1"/>
  <c r="K59" i="1"/>
  <c r="K57" i="1"/>
  <c r="K55" i="1"/>
  <c r="K53" i="1"/>
  <c r="K73" i="1"/>
  <c r="K67" i="1"/>
  <c r="K63" i="1"/>
  <c r="K58" i="1"/>
  <c r="K54" i="1"/>
  <c r="K50" i="1"/>
  <c r="K47" i="1"/>
  <c r="K45" i="1"/>
  <c r="K43" i="1"/>
  <c r="K40" i="1"/>
  <c r="K38" i="1"/>
  <c r="K36" i="1"/>
  <c r="K35" i="1"/>
  <c r="K33" i="1"/>
  <c r="K31" i="1"/>
  <c r="K29" i="1"/>
  <c r="K27" i="1"/>
  <c r="K25" i="1"/>
  <c r="K23" i="1"/>
  <c r="A19" i="1"/>
  <c r="B19" i="1" s="1"/>
  <c r="K75" i="1"/>
  <c r="M75" i="1" s="1"/>
  <c r="Q75" i="1" s="1"/>
  <c r="K70" i="1"/>
  <c r="K60" i="1"/>
  <c r="K52" i="1"/>
  <c r="K49" i="1"/>
  <c r="K48" i="1"/>
  <c r="K44" i="1"/>
  <c r="K39" i="1"/>
  <c r="K34" i="1"/>
  <c r="K30" i="1"/>
  <c r="K26" i="1"/>
  <c r="K65" i="1"/>
  <c r="K56" i="1"/>
  <c r="K51" i="1"/>
  <c r="K46" i="1"/>
  <c r="K42" i="1"/>
  <c r="K41" i="1"/>
  <c r="K37" i="1"/>
  <c r="K32" i="1"/>
  <c r="K28" i="1"/>
  <c r="K24" i="1"/>
  <c r="K22" i="1"/>
  <c r="N22" i="1" s="1"/>
  <c r="Q22" i="1" s="1"/>
  <c r="N24" i="1" l="1"/>
  <c r="M24" i="1"/>
  <c r="N32" i="1"/>
  <c r="M32" i="1"/>
  <c r="N41" i="1"/>
  <c r="M41" i="1"/>
  <c r="Q41" i="1" s="1"/>
  <c r="N46" i="1"/>
  <c r="M46" i="1"/>
  <c r="N56" i="1"/>
  <c r="M56" i="1"/>
  <c r="N26" i="1"/>
  <c r="M26" i="1"/>
  <c r="N34" i="1"/>
  <c r="M34" i="1"/>
  <c r="N44" i="1"/>
  <c r="M44" i="1"/>
  <c r="N49" i="1"/>
  <c r="M49" i="1"/>
  <c r="N60" i="1"/>
  <c r="M60" i="1"/>
  <c r="M23" i="1"/>
  <c r="N23" i="1"/>
  <c r="M27" i="1"/>
  <c r="N27" i="1"/>
  <c r="M31" i="1"/>
  <c r="N31" i="1"/>
  <c r="M35" i="1"/>
  <c r="N35" i="1"/>
  <c r="M38" i="1"/>
  <c r="N38" i="1"/>
  <c r="M43" i="1"/>
  <c r="N43" i="1"/>
  <c r="M47" i="1"/>
  <c r="N47" i="1"/>
  <c r="N54" i="1"/>
  <c r="M54" i="1"/>
  <c r="N63" i="1"/>
  <c r="M63" i="1"/>
  <c r="N73" i="1"/>
  <c r="M73" i="1"/>
  <c r="M55" i="1"/>
  <c r="N55" i="1"/>
  <c r="M59" i="1"/>
  <c r="N59" i="1"/>
  <c r="M62" i="1"/>
  <c r="N62" i="1"/>
  <c r="M66" i="1"/>
  <c r="N66" i="1"/>
  <c r="M69" i="1"/>
  <c r="N69" i="1"/>
  <c r="M72" i="1"/>
  <c r="N72" i="1"/>
  <c r="N28" i="1"/>
  <c r="M28" i="1"/>
  <c r="N37" i="1"/>
  <c r="M37" i="1"/>
  <c r="N42" i="1"/>
  <c r="M42" i="1"/>
  <c r="N51" i="1"/>
  <c r="M51" i="1"/>
  <c r="N65" i="1"/>
  <c r="M65" i="1"/>
  <c r="N30" i="1"/>
  <c r="M30" i="1"/>
  <c r="N39" i="1"/>
  <c r="M39" i="1"/>
  <c r="N48" i="1"/>
  <c r="M48" i="1"/>
  <c r="Q48" i="1" s="1"/>
  <c r="N52" i="1"/>
  <c r="M52" i="1"/>
  <c r="N70" i="1"/>
  <c r="M70" i="1"/>
  <c r="M25" i="1"/>
  <c r="N25" i="1"/>
  <c r="M29" i="1"/>
  <c r="N29" i="1"/>
  <c r="M33" i="1"/>
  <c r="N33" i="1"/>
  <c r="M36" i="1"/>
  <c r="N36" i="1"/>
  <c r="M40" i="1"/>
  <c r="N40" i="1"/>
  <c r="M45" i="1"/>
  <c r="N45" i="1"/>
  <c r="M50" i="1"/>
  <c r="N50" i="1"/>
  <c r="N58" i="1"/>
  <c r="M58" i="1"/>
  <c r="N67" i="1"/>
  <c r="M67" i="1"/>
  <c r="M53" i="1"/>
  <c r="N53" i="1"/>
  <c r="M57" i="1"/>
  <c r="N57" i="1"/>
  <c r="M61" i="1"/>
  <c r="N61" i="1"/>
  <c r="M64" i="1"/>
  <c r="N64" i="1"/>
  <c r="M68" i="1"/>
  <c r="N68" i="1"/>
  <c r="M71" i="1"/>
  <c r="N71" i="1"/>
  <c r="M74" i="1"/>
  <c r="N74" i="1"/>
  <c r="A17" i="1"/>
  <c r="B17" i="1" s="1"/>
  <c r="B16" i="1"/>
  <c r="Q71" i="1" l="1"/>
  <c r="Q68" i="1"/>
  <c r="Q61" i="1"/>
  <c r="Q35" i="1"/>
</calcChain>
</file>

<file path=xl/sharedStrings.xml><?xml version="1.0" encoding="utf-8"?>
<sst xmlns="http://schemas.openxmlformats.org/spreadsheetml/2006/main" count="144" uniqueCount="144">
  <si>
    <t>RIDGEWAY 40 SCHEDULE CALCULATOR</t>
  </si>
  <si>
    <t>Calculates estimated timings with allowance for gradual slow-down, hills and breaks.</t>
  </si>
  <si>
    <t>Enter data into the YELLOW boxes based on your aims.</t>
  </si>
  <si>
    <t>(Blue boxes contain formulas. Green boxes contain other inputs that you probably needn't change.)</t>
  </si>
  <si>
    <t>Start time</t>
  </si>
  <si>
    <t>End time</t>
  </si>
  <si>
    <t>Percentage slow-down from start to finish (speed slows progressively with distance walked)</t>
  </si>
  <si>
    <t>scale factor to convert ascent into equivalent extra distance on the flat</t>
  </si>
  <si>
    <t>Total time including stops (hours)</t>
  </si>
  <si>
    <t>Total breaks (hours)</t>
  </si>
  <si>
    <t>Total walking time (hours)</t>
  </si>
  <si>
    <t>km/h</t>
  </si>
  <si>
    <t>mph</t>
  </si>
  <si>
    <t>Initial walking speed (flat equivalent)</t>
  </si>
  <si>
    <t>Final walking speed (flat equivalent)</t>
  </si>
  <si>
    <t>Average walking speed (flat equivalent)</t>
  </si>
  <si>
    <t>Average walking speed (actual with hills)</t>
  </si>
  <si>
    <t>Average progress (actual with hills, including stops)</t>
  </si>
  <si>
    <t>Grid ref</t>
  </si>
  <si>
    <t>total ascent
(m)</t>
  </si>
  <si>
    <t>dist (km)</t>
  </si>
  <si>
    <t>dist (mile)</t>
  </si>
  <si>
    <t>Description
(abbrevs below)</t>
  </si>
  <si>
    <t>break
(mins)</t>
  </si>
  <si>
    <t>equivalent
distance
on flat
(km)</t>
  </si>
  <si>
    <t>fraction
by equiv
flat
distance</t>
  </si>
  <si>
    <t>(for
internal
calculation)</t>
  </si>
  <si>
    <t>fraction
by
walking
time</t>
  </si>
  <si>
    <t>total
walking
time
(hours)</t>
  </si>
  <si>
    <t>total
break
time
(hours)</t>
  </si>
  <si>
    <t>Arrive</t>
  </si>
  <si>
    <t>Depart</t>
  </si>
  <si>
    <t>CP open time</t>
  </si>
  <si>
    <t>CP close time</t>
  </si>
  <si>
    <t>CP open?</t>
  </si>
  <si>
    <t>SU102697</t>
  </si>
  <si>
    <t>START (Avebury Sports
and Social Club)</t>
  </si>
  <si>
    <t>SU118687</t>
  </si>
  <si>
    <t>J byway L+R (Manor Farm)</t>
  </si>
  <si>
    <t>SU125708</t>
  </si>
  <si>
    <t>join RW</t>
  </si>
  <si>
    <t>SU126714</t>
  </si>
  <si>
    <t>J FP R</t>
  </si>
  <si>
    <t>SU126721</t>
  </si>
  <si>
    <t>J BW R (by copse on L)</t>
  </si>
  <si>
    <t>SU125729</t>
  </si>
  <si>
    <t>J BW R (RW bends L)</t>
  </si>
  <si>
    <t>SU124738</t>
  </si>
  <si>
    <t>J byway L (valley on R)</t>
  </si>
  <si>
    <t>SU129747</t>
  </si>
  <si>
    <t>J road (nr White Horse)</t>
  </si>
  <si>
    <t>SU136758</t>
  </si>
  <si>
    <t>J FP L (start of wood on R)</t>
  </si>
  <si>
    <t>SU145763</t>
  </si>
  <si>
    <t>J road (before Barbury Castle)</t>
  </si>
  <si>
    <t>SU157760</t>
  </si>
  <si>
    <t>J road (after Barbury Castle)</t>
  </si>
  <si>
    <t>SU170763</t>
  </si>
  <si>
    <t>J BW L + R (after downhill)</t>
  </si>
  <si>
    <t>SU185765</t>
  </si>
  <si>
    <t>J road</t>
  </si>
  <si>
    <t>SU197766</t>
  </si>
  <si>
    <t>CP 1 (Whitefield Hill)</t>
  </si>
  <si>
    <t>SU212765</t>
  </si>
  <si>
    <t>J byways. RW turns L</t>
  </si>
  <si>
    <t>SU213773</t>
  </si>
  <si>
    <t>J byways L + R</t>
  </si>
  <si>
    <t>SU214779</t>
  </si>
  <si>
    <t>J BW L, byway R</t>
  </si>
  <si>
    <t>SU218804</t>
  </si>
  <si>
    <t>join B4192 after Liddington Castle</t>
  </si>
  <si>
    <t>SU225808</t>
  </si>
  <si>
    <t>cross M4</t>
  </si>
  <si>
    <t>SU233814</t>
  </si>
  <si>
    <t>CP 2 (Fox Hill)</t>
  </si>
  <si>
    <t>SU248823</t>
  </si>
  <si>
    <t>J BW L + R (deep valley on L)</t>
  </si>
  <si>
    <t>SU252826</t>
  </si>
  <si>
    <t>J road (Ridgeway Farm)</t>
  </si>
  <si>
    <t>SU263835</t>
  </si>
  <si>
    <t>J road L, RB R (top of hill)</t>
  </si>
  <si>
    <t>SU273843</t>
  </si>
  <si>
    <t>J B4000 L (Ashbury Hill) + R</t>
  </si>
  <si>
    <t>SU279851</t>
  </si>
  <si>
    <t>J RB L (D'Arcy Dalton Way) + R</t>
  </si>
  <si>
    <t>SU285855</t>
  </si>
  <si>
    <t>J road L (Knighton), r.o.w. R</t>
  </si>
  <si>
    <t>SU294859</t>
  </si>
  <si>
    <t>CP 3 (near Uffington Castle)</t>
  </si>
  <si>
    <t>SU300862</t>
  </si>
  <si>
    <t>J BW L (Uffington Castle)</t>
  </si>
  <si>
    <t>SU308864</t>
  </si>
  <si>
    <t>J FP L</t>
  </si>
  <si>
    <t>SU322862</t>
  </si>
  <si>
    <t>J road L (Blowingstone Hill) + R</t>
  </si>
  <si>
    <t>SU330858</t>
  </si>
  <si>
    <t>J r.o.w. L, RB R (in saddle)</t>
  </si>
  <si>
    <t>SU342852</t>
  </si>
  <si>
    <t>join road (sparsholt Firs)</t>
  </si>
  <si>
    <t>SU347846</t>
  </si>
  <si>
    <t>J FP L (by Devil’s Punchbowl)</t>
  </si>
  <si>
    <t>SU370840</t>
  </si>
  <si>
    <t>J road L + R (Gramp's Hill)</t>
  </si>
  <si>
    <t>SU377840</t>
  </si>
  <si>
    <t>J road L (Smith’s Hill)</t>
  </si>
  <si>
    <t>SU383841</t>
  </si>
  <si>
    <t>J RB L (to Segsbury Castle)</t>
  </si>
  <si>
    <t>SU394844</t>
  </si>
  <si>
    <t>join A338</t>
  </si>
  <si>
    <t>SU405844</t>
  </si>
  <si>
    <t>J RB L (RW turns R)</t>
  </si>
  <si>
    <t>SU409841</t>
  </si>
  <si>
    <t>J RB straight on (RW turns slight L)</t>
  </si>
  <si>
    <t>SU418841</t>
  </si>
  <si>
    <t>CP 4 (Yew Down)</t>
  </si>
  <si>
    <t>SU432846</t>
  </si>
  <si>
    <t>J RB R (Wether Down)</t>
  </si>
  <si>
    <t>SU443849</t>
  </si>
  <si>
    <t>J BW L + R (start of wood on L)</t>
  </si>
  <si>
    <t>SU458850</t>
  </si>
  <si>
    <t>J road L, RB R (Fore Down)</t>
  </si>
  <si>
    <t>SU479840</t>
  </si>
  <si>
    <t>J road L + R (Bury Down)</t>
  </si>
  <si>
    <t>SU490834</t>
  </si>
  <si>
    <t>A34 underpass</t>
  </si>
  <si>
    <t>SU503825</t>
  </si>
  <si>
    <t>J BW R (beside gallops) + L</t>
  </si>
  <si>
    <t>SU508818</t>
  </si>
  <si>
    <t>CP 5 (Compton Downs)</t>
  </si>
  <si>
    <t>SU519823</t>
  </si>
  <si>
    <t>cross disused railway</t>
  </si>
  <si>
    <t>SU534819</t>
  </si>
  <si>
    <t>J byway L + R (just after J BW)</t>
  </si>
  <si>
    <t>SU540815</t>
  </si>
  <si>
    <t>CP 6 (Starveall Turn)</t>
  </si>
  <si>
    <t>SU549812</t>
  </si>
  <si>
    <t>J byway R (near Warren Farm)</t>
  </si>
  <si>
    <t>SU567812</t>
  </si>
  <si>
    <t>join road</t>
  </si>
  <si>
    <t>SU589814</t>
  </si>
  <si>
    <t>join A417</t>
  </si>
  <si>
    <r>
      <t>Key to abbreviations in description:
J</t>
    </r>
    <r>
      <rPr>
        <sz val="10"/>
        <rFont val="TeXGyreHeros"/>
        <family val="2"/>
        <charset val="1"/>
      </rPr>
      <t xml:space="preserve">: junction with … (on stated side)
</t>
    </r>
    <r>
      <rPr>
        <b/>
        <sz val="10"/>
        <rFont val="TeXGyreHeros"/>
        <family val="2"/>
        <charset val="1"/>
      </rPr>
      <t>FP</t>
    </r>
    <r>
      <rPr>
        <sz val="10"/>
        <rFont val="TeXGyreHeros"/>
        <family val="2"/>
        <charset val="1"/>
      </rPr>
      <t xml:space="preserve">: footpath
</t>
    </r>
    <r>
      <rPr>
        <b/>
        <sz val="10"/>
        <rFont val="TeXGyreHeros"/>
        <family val="2"/>
        <charset val="1"/>
      </rPr>
      <t>BW</t>
    </r>
    <r>
      <rPr>
        <sz val="10"/>
        <rFont val="TeXGyreHeros"/>
        <family val="2"/>
        <charset val="1"/>
      </rPr>
      <t xml:space="preserve">: bridleway
</t>
    </r>
    <r>
      <rPr>
        <b/>
        <sz val="10"/>
        <rFont val="TeXGyreHeros"/>
        <family val="2"/>
        <charset val="1"/>
      </rPr>
      <t>RB</t>
    </r>
    <r>
      <rPr>
        <sz val="10"/>
        <rFont val="TeXGyreHeros"/>
        <family val="2"/>
        <charset val="1"/>
      </rPr>
      <t xml:space="preserve">: restricted byway
</t>
    </r>
    <r>
      <rPr>
        <b/>
        <sz val="10"/>
        <rFont val="TeXGyreHeros"/>
        <family val="2"/>
        <charset val="1"/>
      </rPr>
      <t>r.o.w.</t>
    </r>
    <r>
      <rPr>
        <sz val="10"/>
        <rFont val="TeXGyreHeros"/>
        <family val="2"/>
        <charset val="1"/>
      </rPr>
      <t xml:space="preserve">: other right of way
</t>
    </r>
    <r>
      <rPr>
        <b/>
        <sz val="10"/>
        <rFont val="TeXGyreHeros"/>
        <family val="2"/>
        <charset val="1"/>
      </rPr>
      <t>RW</t>
    </r>
    <r>
      <rPr>
        <sz val="10"/>
        <rFont val="TeXGyreHeros"/>
        <family val="2"/>
        <charset val="1"/>
      </rPr>
      <t xml:space="preserve">: Ridgeway
</t>
    </r>
    <r>
      <rPr>
        <b/>
        <sz val="10"/>
        <rFont val="TeXGyreHeros"/>
        <family val="2"/>
        <charset val="1"/>
      </rPr>
      <t>L</t>
    </r>
    <r>
      <rPr>
        <sz val="10"/>
        <rFont val="TeXGyreHeros"/>
        <family val="2"/>
        <charset val="1"/>
      </rPr>
      <t xml:space="preserve">: left
</t>
    </r>
    <r>
      <rPr>
        <b/>
        <sz val="10"/>
        <rFont val="TeXGyreHeros"/>
        <family val="2"/>
        <charset val="1"/>
      </rPr>
      <t>R</t>
    </r>
    <r>
      <rPr>
        <sz val="10"/>
        <rFont val="TeXGyreHeros"/>
        <family val="2"/>
        <charset val="1"/>
      </rPr>
      <t xml:space="preserve">: right
</t>
    </r>
    <r>
      <rPr>
        <b/>
        <sz val="10"/>
        <rFont val="TeXGyreHeros"/>
        <family val="2"/>
        <charset val="1"/>
      </rPr>
      <t>CP</t>
    </r>
    <r>
      <rPr>
        <sz val="10"/>
        <rFont val="TeXGyreHeros"/>
        <family val="2"/>
        <charset val="1"/>
      </rPr>
      <t>: checkpoint</t>
    </r>
  </si>
  <si>
    <t>END (Morrell Room)</t>
  </si>
  <si>
    <t>SU591807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</si>
</sst>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>
    <font>
      <sz val="10"/>
      <name val="TeXGyreHeros"/>
      <family val="2"/>
      <charset val="1"/>
    </font>
    <font>
      <sz val="12"/>
      <name val="TeXGyreHeros"/>
      <family val="2"/>
      <charset val="1"/>
    </font>
    <font>
      <b/>
      <sz val="14"/>
      <name val="TeXGyreHeros"/>
      <family val="2"/>
      <charset val="1"/>
    </font>
    <font>
      <b/>
      <sz val="12"/>
      <name val="TeXGyreHeros"/>
      <family val="2"/>
      <charset val="1"/>
    </font>
    <font>
      <b/>
      <sz val="10"/>
      <name val="TeXGyreHeros"/>
      <family val="2"/>
      <charset val="1"/>
    </font>
    <font>
      <b/>
      <sz val="12"/>
      <name val="TeXGyreHeros"/>
      <charset val="1"/>
    </font>
    <font>
      <b/>
      <sz val="11"/>
      <name val="TeXGyreHeros"/>
      <family val="2"/>
      <charset val="1"/>
    </font>
    <font>
      <sz val="11"/>
      <name val="TeXGyreHeros"/>
      <family val="2"/>
      <charset val="1"/>
    </font>
    <font>
      <sz val="11"/>
      <name val="TeXGyreHeros"/>
      <charset val="1"/>
    </font>
    <font>
      <sz val="12"/>
      <name val="TeXGyreHeros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8FFC8"/>
        <bgColor rgb="FFCCFFFF"/>
      </patternFill>
    </fill>
    <fill>
      <patternFill patternType="solid">
        <fgColor rgb="FFC6D9F1"/>
        <b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0" fontId="3" fillId="2" borderId="0" xfId="0" applyNumberFormat="1" applyFont="1" applyFill="1" applyAlignment="1">
      <alignment horizontal="center"/>
    </xf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0" borderId="0" xfId="0" applyFont="1"/>
    <xf numFmtId="2" fontId="1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164" fontId="5" fillId="4" borderId="0" xfId="0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164" fontId="3" fillId="4" borderId="0" xfId="0" applyNumberFormat="1" applyFont="1" applyFill="1" applyAlignment="1">
      <alignment vertical="center"/>
    </xf>
    <xf numFmtId="165" fontId="3" fillId="4" borderId="0" xfId="0" applyNumberFormat="1" applyFont="1" applyFill="1" applyAlignment="1">
      <alignment vertical="center"/>
    </xf>
    <xf numFmtId="2" fontId="3" fillId="4" borderId="0" xfId="0" applyNumberFormat="1" applyFont="1" applyFill="1" applyAlignment="1">
      <alignment vertical="center"/>
    </xf>
    <xf numFmtId="20" fontId="3" fillId="4" borderId="0" xfId="0" applyNumberFormat="1" applyFont="1" applyFill="1" applyAlignment="1">
      <alignment horizontal="center" vertical="center"/>
    </xf>
    <xf numFmtId="20" fontId="1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vertical="center"/>
    </xf>
    <xf numFmtId="165" fontId="7" fillId="4" borderId="0" xfId="0" applyNumberFormat="1" applyFont="1" applyFill="1" applyAlignment="1">
      <alignment vertical="center"/>
    </xf>
    <xf numFmtId="165" fontId="9" fillId="4" borderId="0" xfId="0" applyNumberFormat="1" applyFont="1" applyFill="1" applyAlignment="1">
      <alignment vertical="center"/>
    </xf>
    <xf numFmtId="2" fontId="7" fillId="4" borderId="0" xfId="0" applyNumberFormat="1" applyFont="1" applyFill="1" applyAlignment="1">
      <alignment vertical="center"/>
    </xf>
    <xf numFmtId="20" fontId="7" fillId="4" borderId="0" xfId="0" applyNumberFormat="1" applyFont="1" applyFill="1" applyAlignment="1">
      <alignment horizontal="center" vertical="center"/>
    </xf>
    <xf numFmtId="20" fontId="1" fillId="0" borderId="0" xfId="0" applyNumberFormat="1" applyFont="1" applyAlignment="1">
      <alignment horizontal="center"/>
    </xf>
    <xf numFmtId="0" fontId="7" fillId="0" borderId="0" xfId="0" applyFont="1"/>
    <xf numFmtId="0" fontId="0" fillId="3" borderId="0" xfId="0" applyFill="1"/>
    <xf numFmtId="0" fontId="3" fillId="3" borderId="0" xfId="0" applyFont="1" applyFill="1"/>
    <xf numFmtId="0" fontId="1" fillId="0" borderId="0" xfId="0" applyFont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1" fillId="4" borderId="0" xfId="0" applyNumberFormat="1" applyFont="1" applyFill="1" applyAlignment="1">
      <alignment vertical="center"/>
    </xf>
    <xf numFmtId="165" fontId="1" fillId="4" borderId="0" xfId="0" applyNumberFormat="1" applyFont="1" applyFill="1" applyAlignment="1">
      <alignment vertical="center"/>
    </xf>
    <xf numFmtId="2" fontId="1" fillId="4" borderId="0" xfId="0" applyNumberFormat="1" applyFont="1" applyFill="1" applyAlignment="1">
      <alignment vertical="center"/>
    </xf>
    <xf numFmtId="20" fontId="1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8FFC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7"/>
  <sheetViews>
    <sheetView tabSelected="1" topLeftCell="A64" zoomScale="70" zoomScaleNormal="70" workbookViewId="0">
      <selection activeCell="A73" sqref="A73"/>
    </sheetView>
  </sheetViews>
  <sheetFormatPr defaultRowHeight="15"/>
  <cols>
    <col min="1" max="1" width="11.85546875"/>
    <col min="2" max="2" width="9.85546875"/>
    <col min="3" max="3" width="8.5703125"/>
    <col min="4" max="4" width="8.85546875"/>
    <col min="5" max="5" width="33.42578125"/>
    <col min="6" max="6" width="10"/>
    <col min="7" max="12" width="0" hidden="1"/>
    <col min="13" max="13" width="9"/>
    <col min="14" max="14" width="8.7109375"/>
    <col min="15" max="16" width="7.7109375" style="1"/>
    <col min="17" max="17" width="10.7109375" style="1"/>
    <col min="18" max="1025" width="11.5703125"/>
  </cols>
  <sheetData>
    <row r="1" spans="1:17" s="2" customFormat="1" ht="18">
      <c r="A1" s="2" t="s">
        <v>0</v>
      </c>
      <c r="O1" s="3"/>
      <c r="P1" s="3"/>
      <c r="Q1" s="3"/>
    </row>
    <row r="2" spans="1:17" s="2" customFormat="1" ht="18">
      <c r="A2" s="2" t="s">
        <v>1</v>
      </c>
      <c r="O2" s="3"/>
      <c r="P2" s="3"/>
      <c r="Q2" s="3"/>
    </row>
    <row r="3" spans="1:17" s="2" customFormat="1" ht="18">
      <c r="A3" s="2" t="s">
        <v>2</v>
      </c>
      <c r="O3" s="3"/>
      <c r="P3" s="3"/>
      <c r="Q3" s="3"/>
    </row>
    <row r="4" spans="1:17" s="3" customFormat="1" ht="15.75">
      <c r="A4" t="s">
        <v>3</v>
      </c>
    </row>
    <row r="5" spans="1:17" s="4" customFormat="1" ht="15.75">
      <c r="O5" s="3"/>
      <c r="P5" s="3"/>
      <c r="Q5" s="3"/>
    </row>
    <row r="6" spans="1:17" s="3" customFormat="1" ht="15.75">
      <c r="A6" s="5">
        <v>0.33333333333333331</v>
      </c>
      <c r="B6" s="6" t="s">
        <v>4</v>
      </c>
    </row>
    <row r="7" spans="1:17" s="3" customFormat="1" ht="15.75" customHeight="1">
      <c r="A7" s="5">
        <v>0.88541666666666696</v>
      </c>
      <c r="B7" s="6" t="s">
        <v>5</v>
      </c>
    </row>
    <row r="8" spans="1:17" ht="15.75" customHeight="1">
      <c r="A8" s="7">
        <v>25</v>
      </c>
      <c r="B8" s="1" t="s">
        <v>6</v>
      </c>
      <c r="O8"/>
      <c r="P8"/>
      <c r="Q8"/>
    </row>
    <row r="9" spans="1:17" ht="19.899999999999999" customHeight="1">
      <c r="O9"/>
      <c r="P9"/>
      <c r="Q9"/>
    </row>
    <row r="10" spans="1:17" s="9" customFormat="1" ht="15.75">
      <c r="A10" s="8">
        <v>8</v>
      </c>
      <c r="B10" s="1" t="s">
        <v>7</v>
      </c>
      <c r="O10" s="3"/>
      <c r="P10" s="3"/>
      <c r="Q10" s="3"/>
    </row>
    <row r="11" spans="1:17" s="3" customFormat="1" ht="15.75">
      <c r="A11" s="10">
        <f>(A7-A6)*24</f>
        <v>13.250000000000009</v>
      </c>
      <c r="B11" s="1" t="s">
        <v>8</v>
      </c>
    </row>
    <row r="12" spans="1:17" s="3" customFormat="1" ht="15.75">
      <c r="A12" s="10">
        <f>SUM(F22:F75) / 60</f>
        <v>0.66666666666666663</v>
      </c>
      <c r="B12" s="1" t="s">
        <v>9</v>
      </c>
    </row>
    <row r="13" spans="1:17" s="3" customFormat="1" ht="15.75">
      <c r="A13" s="10">
        <f>A11-A12</f>
        <v>12.583333333333343</v>
      </c>
      <c r="B13" s="1" t="s">
        <v>10</v>
      </c>
    </row>
    <row r="14" spans="1:17" ht="12.75">
      <c r="O14"/>
      <c r="P14"/>
      <c r="Q14"/>
    </row>
    <row r="15" spans="1:17" s="3" customFormat="1" ht="15.75">
      <c r="A15" s="11" t="s">
        <v>11</v>
      </c>
      <c r="B15" s="11" t="s">
        <v>12</v>
      </c>
    </row>
    <row r="16" spans="1:17">
      <c r="A16" s="10">
        <f>IF(A8=0,A18,-A18*LN(1-A8/100)/(A8/100))</f>
        <v>6.4390792324688038</v>
      </c>
      <c r="B16" s="10">
        <f>A16/1.609</f>
        <v>4.001913755418772</v>
      </c>
      <c r="C16" s="1" t="s">
        <v>13</v>
      </c>
      <c r="O16"/>
      <c r="P16"/>
      <c r="Q16"/>
    </row>
    <row r="17" spans="1:20">
      <c r="A17" s="10">
        <f>A16*(1-A8/100)</f>
        <v>4.829309424351603</v>
      </c>
      <c r="B17" s="10">
        <f>A17/1.609</f>
        <v>3.0014353165640788</v>
      </c>
      <c r="C17" s="1" t="s">
        <v>14</v>
      </c>
      <c r="O17"/>
      <c r="P17"/>
      <c r="Q17"/>
    </row>
    <row r="18" spans="1:20">
      <c r="A18" s="10">
        <f>G75/A13</f>
        <v>5.5956556291390678</v>
      </c>
      <c r="B18" s="10">
        <f>A18/1.609</f>
        <v>3.4777225787066923</v>
      </c>
      <c r="C18" s="1" t="s">
        <v>15</v>
      </c>
      <c r="O18"/>
      <c r="P18"/>
      <c r="Q18"/>
    </row>
    <row r="19" spans="1:20">
      <c r="A19" s="10">
        <f>C75/A13</f>
        <v>5.1099337748344329</v>
      </c>
      <c r="B19" s="10">
        <f>A19/1.609</f>
        <v>3.1758444840487465</v>
      </c>
      <c r="C19" s="1" t="s">
        <v>16</v>
      </c>
      <c r="O19"/>
      <c r="P19"/>
      <c r="Q19"/>
    </row>
    <row r="20" spans="1:20">
      <c r="A20" s="10">
        <f>C75/A11</f>
        <v>4.852830188679242</v>
      </c>
      <c r="B20" s="10">
        <f>A20/1.609</f>
        <v>3.016053566612332</v>
      </c>
      <c r="C20" s="1" t="s">
        <v>17</v>
      </c>
      <c r="O20"/>
      <c r="P20"/>
      <c r="Q20"/>
    </row>
    <row r="21" spans="1:20" ht="62.25" customHeight="1">
      <c r="A21" s="3" t="s">
        <v>18</v>
      </c>
      <c r="B21" s="12" t="s">
        <v>19</v>
      </c>
      <c r="C21" s="12" t="s">
        <v>20</v>
      </c>
      <c r="D21" s="12" t="s">
        <v>21</v>
      </c>
      <c r="E21" s="12" t="s">
        <v>22</v>
      </c>
      <c r="F21" s="12" t="s">
        <v>23</v>
      </c>
      <c r="G21" s="12" t="s">
        <v>24</v>
      </c>
      <c r="H21" s="12" t="s">
        <v>25</v>
      </c>
      <c r="I21" s="12" t="s">
        <v>26</v>
      </c>
      <c r="J21" s="12" t="s">
        <v>27</v>
      </c>
      <c r="K21" s="12" t="s">
        <v>28</v>
      </c>
      <c r="L21" s="12" t="s">
        <v>29</v>
      </c>
      <c r="M21" s="3" t="s">
        <v>30</v>
      </c>
      <c r="N21" s="3" t="s">
        <v>31</v>
      </c>
      <c r="O21" s="13" t="s">
        <v>32</v>
      </c>
      <c r="P21" s="13" t="s">
        <v>33</v>
      </c>
      <c r="Q21" s="13" t="s">
        <v>34</v>
      </c>
    </row>
    <row r="22" spans="1:20" s="14" customFormat="1" ht="38.450000000000003" customHeight="1">
      <c r="A22" s="14" t="s">
        <v>35</v>
      </c>
      <c r="B22" s="15">
        <v>0</v>
      </c>
      <c r="C22" s="15">
        <v>0</v>
      </c>
      <c r="D22" s="16">
        <f t="shared" ref="D22:D53" si="0">C22/1.609</f>
        <v>0</v>
      </c>
      <c r="E22" s="17" t="s">
        <v>36</v>
      </c>
      <c r="F22" s="7"/>
      <c r="G22" s="18">
        <f t="shared" ref="G22:G53" si="1">C22+B22*$A$10/1000</f>
        <v>0</v>
      </c>
      <c r="H22" s="19">
        <f t="shared" ref="H22:H53" si="2">G22/G$75</f>
        <v>0</v>
      </c>
      <c r="I22" s="19">
        <f t="shared" ref="I22:I53" si="3">IF($A$8=0,H22,LN(1-$A$8*H22/H$75/100))</f>
        <v>0</v>
      </c>
      <c r="J22" s="19">
        <f t="shared" ref="J22:J53" si="4">I22/I$75</f>
        <v>0</v>
      </c>
      <c r="K22" s="20">
        <f t="shared" ref="K22:K53" si="5">$A$13*J22</f>
        <v>0</v>
      </c>
      <c r="L22" s="20">
        <f>F22/60</f>
        <v>0</v>
      </c>
      <c r="M22" s="21"/>
      <c r="N22" s="21">
        <f t="shared" ref="N22:N53" si="6">$A$6+(K22+L22)/24</f>
        <v>0.33333333333333331</v>
      </c>
      <c r="O22" s="22">
        <v>0.32291666666666702</v>
      </c>
      <c r="P22" s="22">
        <v>0.35416666666666702</v>
      </c>
      <c r="Q22" s="23" t="str">
        <f>IF(OR(N22&gt;P22,N22&lt;O22), "CLOSED", "ok")</f>
        <v>ok</v>
      </c>
    </row>
    <row r="23" spans="1:20" s="34" customFormat="1" ht="15.75">
      <c r="A23" s="24" t="s">
        <v>37</v>
      </c>
      <c r="B23" s="25">
        <v>2</v>
      </c>
      <c r="C23" s="25">
        <v>1.2</v>
      </c>
      <c r="D23" s="26">
        <f t="shared" si="0"/>
        <v>0.74580484773151023</v>
      </c>
      <c r="E23" s="24" t="s">
        <v>38</v>
      </c>
      <c r="F23" s="27"/>
      <c r="G23" s="28">
        <f t="shared" si="1"/>
        <v>1.216</v>
      </c>
      <c r="H23" s="29">
        <f t="shared" si="2"/>
        <v>1.726978355962052E-2</v>
      </c>
      <c r="I23" s="30">
        <f t="shared" si="3"/>
        <v>-4.3267929727962787E-3</v>
      </c>
      <c r="J23" s="29">
        <f t="shared" si="4"/>
        <v>1.5040189803699023E-2</v>
      </c>
      <c r="K23" s="31">
        <f t="shared" si="5"/>
        <v>0.18925572169654617</v>
      </c>
      <c r="L23" s="31">
        <f t="shared" ref="L23:L54" si="7">L22+F23/60</f>
        <v>0</v>
      </c>
      <c r="M23" s="32">
        <f t="shared" ref="M23:M54" si="8">$A$6+(K23+L22)/24</f>
        <v>0.34121898840402276</v>
      </c>
      <c r="N23" s="32">
        <f t="shared" si="6"/>
        <v>0.34121898840402276</v>
      </c>
      <c r="O23" s="33"/>
      <c r="P23" s="33"/>
      <c r="Q23" s="11"/>
      <c r="S23"/>
      <c r="T23"/>
    </row>
    <row r="24" spans="1:20" s="34" customFormat="1" ht="15.75">
      <c r="A24" s="24" t="s">
        <v>39</v>
      </c>
      <c r="B24" s="25">
        <v>67</v>
      </c>
      <c r="C24" s="25">
        <v>2.7</v>
      </c>
      <c r="D24" s="26">
        <f t="shared" si="0"/>
        <v>1.6780609073958983</v>
      </c>
      <c r="E24" s="24" t="s">
        <v>40</v>
      </c>
      <c r="F24" s="27"/>
      <c r="G24" s="28">
        <f t="shared" si="1"/>
        <v>3.2360000000000002</v>
      </c>
      <c r="H24" s="29">
        <f t="shared" si="2"/>
        <v>4.5958075328069087E-2</v>
      </c>
      <c r="I24" s="30">
        <f t="shared" si="3"/>
        <v>-1.1556033324003016E-2</v>
      </c>
      <c r="J24" s="29">
        <f t="shared" si="4"/>
        <v>4.0169459381032342E-2</v>
      </c>
      <c r="K24" s="31">
        <f t="shared" si="5"/>
        <v>0.50546569721132406</v>
      </c>
      <c r="L24" s="31">
        <f t="shared" si="7"/>
        <v>0</v>
      </c>
      <c r="M24" s="32">
        <f t="shared" si="8"/>
        <v>0.35439440405047185</v>
      </c>
      <c r="N24" s="32">
        <f t="shared" si="6"/>
        <v>0.35439440405047185</v>
      </c>
      <c r="O24" s="33"/>
      <c r="P24" s="33"/>
      <c r="Q24" s="11"/>
      <c r="S24"/>
      <c r="T24"/>
    </row>
    <row r="25" spans="1:20" ht="15.75">
      <c r="A25" s="24" t="s">
        <v>41</v>
      </c>
      <c r="B25" s="35">
        <v>92</v>
      </c>
      <c r="C25" s="35">
        <v>3.3</v>
      </c>
      <c r="D25" s="26">
        <f t="shared" si="0"/>
        <v>2.0509633312616531</v>
      </c>
      <c r="E25" s="24" t="s">
        <v>42</v>
      </c>
      <c r="F25" s="27"/>
      <c r="G25" s="28">
        <f t="shared" si="1"/>
        <v>4.0359999999999996</v>
      </c>
      <c r="H25" s="29">
        <f t="shared" si="2"/>
        <v>5.731977503834574E-2</v>
      </c>
      <c r="I25" s="30">
        <f t="shared" si="3"/>
        <v>-1.4433608939549574E-2</v>
      </c>
      <c r="J25" s="29">
        <f t="shared" si="4"/>
        <v>5.0172083427161861E-2</v>
      </c>
      <c r="K25" s="31">
        <f t="shared" si="5"/>
        <v>0.63133204979178725</v>
      </c>
      <c r="L25" s="31">
        <f t="shared" si="7"/>
        <v>0</v>
      </c>
      <c r="M25" s="32">
        <f t="shared" si="8"/>
        <v>0.35963883540799113</v>
      </c>
      <c r="N25" s="32">
        <f t="shared" si="6"/>
        <v>0.35963883540799113</v>
      </c>
      <c r="O25" s="33"/>
      <c r="P25" s="33"/>
      <c r="Q25" s="11"/>
    </row>
    <row r="26" spans="1:20" ht="15.75">
      <c r="A26" s="24" t="s">
        <v>43</v>
      </c>
      <c r="B26" s="35">
        <v>100</v>
      </c>
      <c r="C26" s="35">
        <v>4</v>
      </c>
      <c r="D26" s="26">
        <f t="shared" si="0"/>
        <v>2.4860161591050343</v>
      </c>
      <c r="E26" s="24" t="s">
        <v>44</v>
      </c>
      <c r="F26" s="27"/>
      <c r="G26" s="28">
        <f t="shared" si="1"/>
        <v>4.8</v>
      </c>
      <c r="H26" s="29">
        <f t="shared" si="2"/>
        <v>6.8170198261659945E-2</v>
      </c>
      <c r="I26" s="30">
        <f t="shared" si="3"/>
        <v>-1.7189445189323891E-2</v>
      </c>
      <c r="J26" s="29">
        <f t="shared" si="4"/>
        <v>5.9751534194766538E-2</v>
      </c>
      <c r="K26" s="31">
        <f t="shared" si="5"/>
        <v>0.75187347195081289</v>
      </c>
      <c r="L26" s="31">
        <f t="shared" si="7"/>
        <v>0</v>
      </c>
      <c r="M26" s="32">
        <f t="shared" si="8"/>
        <v>0.36466139466461717</v>
      </c>
      <c r="N26" s="32">
        <f t="shared" si="6"/>
        <v>0.36466139466461717</v>
      </c>
      <c r="O26" s="33"/>
      <c r="P26" s="33"/>
      <c r="Q26" s="11"/>
    </row>
    <row r="27" spans="1:20" ht="15.75">
      <c r="A27" s="24" t="s">
        <v>45</v>
      </c>
      <c r="B27" s="35">
        <v>110</v>
      </c>
      <c r="C27" s="35">
        <v>4.9000000000000004</v>
      </c>
      <c r="D27" s="26">
        <f t="shared" si="0"/>
        <v>3.0453697949036673</v>
      </c>
      <c r="E27" s="24" t="s">
        <v>46</v>
      </c>
      <c r="F27" s="27"/>
      <c r="G27" s="28">
        <f t="shared" si="1"/>
        <v>5.78</v>
      </c>
      <c r="H27" s="29">
        <f t="shared" si="2"/>
        <v>8.2088280406748856E-2</v>
      </c>
      <c r="I27" s="30">
        <f t="shared" si="3"/>
        <v>-2.0735573859239159E-2</v>
      </c>
      <c r="J27" s="29">
        <f t="shared" si="4"/>
        <v>7.2078088434637158E-2</v>
      </c>
      <c r="K27" s="31">
        <f t="shared" si="5"/>
        <v>0.90698261280251824</v>
      </c>
      <c r="L27" s="31">
        <f t="shared" si="7"/>
        <v>0</v>
      </c>
      <c r="M27" s="32">
        <f t="shared" si="8"/>
        <v>0.37112427553343824</v>
      </c>
      <c r="N27" s="32">
        <f t="shared" si="6"/>
        <v>0.37112427553343824</v>
      </c>
      <c r="O27" s="33"/>
      <c r="P27" s="33"/>
      <c r="Q27" s="11"/>
    </row>
    <row r="28" spans="1:20" ht="15.75">
      <c r="A28" s="24" t="s">
        <v>47</v>
      </c>
      <c r="B28" s="35">
        <v>113</v>
      </c>
      <c r="C28" s="35">
        <v>5.8</v>
      </c>
      <c r="D28" s="26">
        <f t="shared" si="0"/>
        <v>3.6047234307022995</v>
      </c>
      <c r="E28" s="24" t="s">
        <v>48</v>
      </c>
      <c r="F28" s="27"/>
      <c r="G28" s="28">
        <f t="shared" si="1"/>
        <v>6.7039999999999997</v>
      </c>
      <c r="H28" s="29">
        <f t="shared" si="2"/>
        <v>9.521104357211839E-2</v>
      </c>
      <c r="I28" s="30">
        <f t="shared" si="3"/>
        <v>-2.409062373738103E-2</v>
      </c>
      <c r="J28" s="29">
        <f t="shared" si="4"/>
        <v>8.37404414257302E-2</v>
      </c>
      <c r="K28" s="31">
        <f t="shared" si="5"/>
        <v>1.0537338879404392</v>
      </c>
      <c r="L28" s="31">
        <f t="shared" si="7"/>
        <v>0</v>
      </c>
      <c r="M28" s="32">
        <f t="shared" si="8"/>
        <v>0.3772389119975183</v>
      </c>
      <c r="N28" s="32">
        <f t="shared" si="6"/>
        <v>0.3772389119975183</v>
      </c>
      <c r="O28" s="33"/>
      <c r="P28" s="33"/>
      <c r="Q28" s="11"/>
    </row>
    <row r="29" spans="1:20" ht="15.75">
      <c r="A29" s="24" t="s">
        <v>49</v>
      </c>
      <c r="B29" s="35">
        <v>128</v>
      </c>
      <c r="C29" s="35">
        <v>6.8</v>
      </c>
      <c r="D29" s="26">
        <f t="shared" si="0"/>
        <v>4.2262274704785581</v>
      </c>
      <c r="E29" s="24" t="s">
        <v>50</v>
      </c>
      <c r="F29" s="27"/>
      <c r="G29" s="28">
        <f t="shared" si="1"/>
        <v>7.8239999999999998</v>
      </c>
      <c r="H29" s="29">
        <f t="shared" si="2"/>
        <v>0.11111742316650572</v>
      </c>
      <c r="I29" s="30">
        <f t="shared" si="3"/>
        <v>-2.8172500067972114E-2</v>
      </c>
      <c r="J29" s="29">
        <f t="shared" si="4"/>
        <v>9.7929286409371846E-2</v>
      </c>
      <c r="K29" s="31">
        <f t="shared" si="5"/>
        <v>1.2322768539845967</v>
      </c>
      <c r="L29" s="31">
        <f t="shared" si="7"/>
        <v>0</v>
      </c>
      <c r="M29" s="32">
        <f t="shared" si="8"/>
        <v>0.38467820224935817</v>
      </c>
      <c r="N29" s="32">
        <f t="shared" si="6"/>
        <v>0.38467820224935817</v>
      </c>
      <c r="O29" s="33"/>
      <c r="P29" s="33"/>
      <c r="Q29" s="11"/>
    </row>
    <row r="30" spans="1:20" ht="15.75">
      <c r="A30" s="24" t="s">
        <v>51</v>
      </c>
      <c r="B30" s="35">
        <v>143</v>
      </c>
      <c r="C30" s="35">
        <v>8.1</v>
      </c>
      <c r="D30" s="26">
        <f t="shared" si="0"/>
        <v>5.034182722187694</v>
      </c>
      <c r="E30" s="24" t="s">
        <v>52</v>
      </c>
      <c r="F30" s="27"/>
      <c r="G30" s="28">
        <f t="shared" si="1"/>
        <v>9.2439999999999998</v>
      </c>
      <c r="H30" s="29">
        <f t="shared" si="2"/>
        <v>0.1312844401522468</v>
      </c>
      <c r="I30" s="30">
        <f t="shared" si="3"/>
        <v>-3.3371805848260189E-2</v>
      </c>
      <c r="J30" s="29">
        <f t="shared" si="4"/>
        <v>0.11600238264361683</v>
      </c>
      <c r="K30" s="31">
        <f t="shared" si="5"/>
        <v>1.4596966482655129</v>
      </c>
      <c r="L30" s="31">
        <f t="shared" si="7"/>
        <v>0</v>
      </c>
      <c r="M30" s="32">
        <f t="shared" si="8"/>
        <v>0.394154027011063</v>
      </c>
      <c r="N30" s="32">
        <f t="shared" si="6"/>
        <v>0.394154027011063</v>
      </c>
      <c r="O30" s="33"/>
      <c r="P30" s="33"/>
      <c r="Q30" s="11"/>
    </row>
    <row r="31" spans="1:20" ht="15.75">
      <c r="A31" s="24" t="s">
        <v>53</v>
      </c>
      <c r="B31" s="35">
        <v>146</v>
      </c>
      <c r="C31" s="35">
        <v>9.1999999999999993</v>
      </c>
      <c r="D31" s="26">
        <f t="shared" si="0"/>
        <v>5.7178371659415781</v>
      </c>
      <c r="E31" s="24" t="s">
        <v>54</v>
      </c>
      <c r="F31" s="27"/>
      <c r="G31" s="28">
        <f t="shared" si="1"/>
        <v>10.367999999999999</v>
      </c>
      <c r="H31" s="29">
        <f t="shared" si="2"/>
        <v>0.14724762824518547</v>
      </c>
      <c r="I31" s="30">
        <f t="shared" si="3"/>
        <v>-3.7506566486233267E-2</v>
      </c>
      <c r="J31" s="29">
        <f t="shared" si="4"/>
        <v>0.13037505662616442</v>
      </c>
      <c r="K31" s="31">
        <f t="shared" si="5"/>
        <v>1.6405527958792367</v>
      </c>
      <c r="L31" s="31">
        <f t="shared" si="7"/>
        <v>0</v>
      </c>
      <c r="M31" s="32">
        <f t="shared" si="8"/>
        <v>0.40168969982830149</v>
      </c>
      <c r="N31" s="32">
        <f t="shared" si="6"/>
        <v>0.40168969982830149</v>
      </c>
      <c r="O31" s="33"/>
      <c r="P31" s="33"/>
      <c r="Q31" s="11"/>
    </row>
    <row r="32" spans="1:20" ht="15.75">
      <c r="A32" s="24" t="s">
        <v>55</v>
      </c>
      <c r="B32" s="35">
        <v>182</v>
      </c>
      <c r="C32" s="35">
        <v>10.5</v>
      </c>
      <c r="D32" s="26">
        <f t="shared" si="0"/>
        <v>6.5257924176507149</v>
      </c>
      <c r="E32" s="24" t="s">
        <v>56</v>
      </c>
      <c r="F32" s="27"/>
      <c r="G32" s="28">
        <f t="shared" si="1"/>
        <v>11.956</v>
      </c>
      <c r="H32" s="29">
        <f t="shared" si="2"/>
        <v>0.16980060217008466</v>
      </c>
      <c r="I32" s="30">
        <f t="shared" si="3"/>
        <v>-4.3377497185936323E-2</v>
      </c>
      <c r="J32" s="29">
        <f t="shared" si="4"/>
        <v>0.15078276103981741</v>
      </c>
      <c r="K32" s="31">
        <f t="shared" si="5"/>
        <v>1.8973497430843707</v>
      </c>
      <c r="L32" s="31">
        <f t="shared" si="7"/>
        <v>0</v>
      </c>
      <c r="M32" s="32">
        <f t="shared" si="8"/>
        <v>0.41238957262851544</v>
      </c>
      <c r="N32" s="32">
        <f t="shared" si="6"/>
        <v>0.41238957262851544</v>
      </c>
      <c r="O32" s="33"/>
      <c r="P32" s="33"/>
      <c r="Q32" s="11"/>
    </row>
    <row r="33" spans="1:17" ht="15.75">
      <c r="A33" s="24" t="s">
        <v>57</v>
      </c>
      <c r="B33" s="35">
        <v>182</v>
      </c>
      <c r="C33" s="35">
        <v>12</v>
      </c>
      <c r="D33" s="26">
        <f t="shared" si="0"/>
        <v>7.4580484773151028</v>
      </c>
      <c r="E33" s="24" t="s">
        <v>58</v>
      </c>
      <c r="F33" s="27"/>
      <c r="G33" s="28">
        <f t="shared" si="1"/>
        <v>13.456</v>
      </c>
      <c r="H33" s="29">
        <f t="shared" si="2"/>
        <v>0.19110378912685339</v>
      </c>
      <c r="I33" s="30">
        <f t="shared" si="3"/>
        <v>-4.895492238712075E-2</v>
      </c>
      <c r="J33" s="29">
        <f t="shared" si="4"/>
        <v>0.17017022287798697</v>
      </c>
      <c r="K33" s="31">
        <f t="shared" si="5"/>
        <v>2.1413086378813375</v>
      </c>
      <c r="L33" s="31">
        <f t="shared" si="7"/>
        <v>0</v>
      </c>
      <c r="M33" s="32">
        <f t="shared" si="8"/>
        <v>0.42255452657838904</v>
      </c>
      <c r="N33" s="32">
        <f t="shared" si="6"/>
        <v>0.42255452657838904</v>
      </c>
      <c r="O33" s="33"/>
      <c r="P33" s="33"/>
      <c r="Q33" s="11"/>
    </row>
    <row r="34" spans="1:17" ht="15.75">
      <c r="A34" s="24" t="s">
        <v>59</v>
      </c>
      <c r="B34" s="35">
        <v>182</v>
      </c>
      <c r="C34" s="35">
        <v>13.5</v>
      </c>
      <c r="D34" s="26">
        <f t="shared" si="0"/>
        <v>8.3903045369794906</v>
      </c>
      <c r="E34" s="24" t="s">
        <v>60</v>
      </c>
      <c r="F34" s="27"/>
      <c r="G34" s="28">
        <f t="shared" si="1"/>
        <v>14.956</v>
      </c>
      <c r="H34" s="29">
        <f t="shared" si="2"/>
        <v>0.21240697608362213</v>
      </c>
      <c r="I34" s="30">
        <f t="shared" si="3"/>
        <v>-5.4563629816013079E-2</v>
      </c>
      <c r="J34" s="29">
        <f t="shared" si="4"/>
        <v>0.18966642360086106</v>
      </c>
      <c r="K34" s="31">
        <f t="shared" si="5"/>
        <v>2.3866358303108366</v>
      </c>
      <c r="L34" s="31">
        <f t="shared" si="7"/>
        <v>0</v>
      </c>
      <c r="M34" s="32">
        <f t="shared" si="8"/>
        <v>0.43277649292961817</v>
      </c>
      <c r="N34" s="32">
        <f t="shared" si="6"/>
        <v>0.43277649292961817</v>
      </c>
      <c r="O34" s="33"/>
      <c r="P34" s="33"/>
      <c r="Q34" s="11"/>
    </row>
    <row r="35" spans="1:17" s="14" customFormat="1" ht="28.9" customHeight="1">
      <c r="A35" s="14" t="s">
        <v>61</v>
      </c>
      <c r="B35" s="36">
        <v>189</v>
      </c>
      <c r="C35" s="36">
        <v>14.7</v>
      </c>
      <c r="D35" s="16">
        <f t="shared" si="0"/>
        <v>9.1361093847110002</v>
      </c>
      <c r="E35" s="14" t="s">
        <v>62</v>
      </c>
      <c r="F35" s="7">
        <v>5</v>
      </c>
      <c r="G35" s="18">
        <f t="shared" si="1"/>
        <v>16.212</v>
      </c>
      <c r="H35" s="19">
        <f t="shared" si="2"/>
        <v>0.2302448446287565</v>
      </c>
      <c r="I35" s="19">
        <f t="shared" si="3"/>
        <v>-5.9284307293892266E-2</v>
      </c>
      <c r="J35" s="19">
        <f t="shared" si="4"/>
        <v>0.20607577937908889</v>
      </c>
      <c r="K35" s="20">
        <f t="shared" si="5"/>
        <v>2.5931202238535369</v>
      </c>
      <c r="L35" s="20">
        <f t="shared" si="7"/>
        <v>8.3333333333333329E-2</v>
      </c>
      <c r="M35" s="21">
        <f t="shared" si="8"/>
        <v>0.4413800093272307</v>
      </c>
      <c r="N35" s="21">
        <f t="shared" si="6"/>
        <v>0.44485223154945291</v>
      </c>
      <c r="O35" s="22">
        <v>0.39583333333333298</v>
      </c>
      <c r="P35" s="22">
        <v>0.46875</v>
      </c>
      <c r="Q35" s="23" t="str">
        <f>IF(OR(M35&gt;P35,N35&lt;O35), "CLOSED", "ok")</f>
        <v>ok</v>
      </c>
    </row>
    <row r="36" spans="1:17" s="34" customFormat="1" ht="15.75">
      <c r="A36" s="24" t="s">
        <v>63</v>
      </c>
      <c r="B36" s="35">
        <v>294</v>
      </c>
      <c r="C36" s="35">
        <v>16.399999999999999</v>
      </c>
      <c r="D36" s="26">
        <f t="shared" si="0"/>
        <v>10.192666252330639</v>
      </c>
      <c r="E36" s="24" t="s">
        <v>64</v>
      </c>
      <c r="F36" s="27"/>
      <c r="G36" s="28">
        <f t="shared" si="1"/>
        <v>18.751999999999999</v>
      </c>
      <c r="H36" s="29">
        <f t="shared" si="2"/>
        <v>0.26631824120888486</v>
      </c>
      <c r="I36" s="30">
        <f t="shared" si="3"/>
        <v>-6.8899547594141297E-2</v>
      </c>
      <c r="J36" s="29">
        <f t="shared" si="4"/>
        <v>0.23949892673861253</v>
      </c>
      <c r="K36" s="31">
        <f t="shared" si="5"/>
        <v>3.0136948281275435</v>
      </c>
      <c r="L36" s="31">
        <f t="shared" si="7"/>
        <v>8.3333333333333329E-2</v>
      </c>
      <c r="M36" s="32">
        <f t="shared" si="8"/>
        <v>0.46237617339420323</v>
      </c>
      <c r="N36" s="32">
        <f t="shared" si="6"/>
        <v>0.46237617339420323</v>
      </c>
      <c r="O36" s="33"/>
      <c r="P36" s="33"/>
      <c r="Q36" s="11"/>
    </row>
    <row r="37" spans="1:17" s="34" customFormat="1" ht="15.75">
      <c r="A37" s="24" t="s">
        <v>65</v>
      </c>
      <c r="B37" s="35">
        <v>297</v>
      </c>
      <c r="C37" s="35">
        <v>17.2</v>
      </c>
      <c r="D37" s="26">
        <f t="shared" si="0"/>
        <v>10.689869484151647</v>
      </c>
      <c r="E37" s="24" t="s">
        <v>66</v>
      </c>
      <c r="F37" s="27"/>
      <c r="G37" s="28">
        <f t="shared" si="1"/>
        <v>19.576000000000001</v>
      </c>
      <c r="H37" s="29">
        <f t="shared" si="2"/>
        <v>0.27802079191046986</v>
      </c>
      <c r="I37" s="30">
        <f t="shared" si="3"/>
        <v>-7.2038789135335124E-2</v>
      </c>
      <c r="J37" s="29">
        <f t="shared" si="4"/>
        <v>0.25041111711057257</v>
      </c>
      <c r="K37" s="31">
        <f t="shared" si="5"/>
        <v>3.151006556974707</v>
      </c>
      <c r="L37" s="31">
        <f t="shared" si="7"/>
        <v>8.3333333333333329E-2</v>
      </c>
      <c r="M37" s="32">
        <f t="shared" si="8"/>
        <v>0.46809749542950163</v>
      </c>
      <c r="N37" s="32">
        <f t="shared" si="6"/>
        <v>0.46809749542950163</v>
      </c>
      <c r="O37" s="33"/>
      <c r="P37" s="33"/>
      <c r="Q37" s="11"/>
    </row>
    <row r="38" spans="1:17" s="34" customFormat="1" ht="15.75">
      <c r="A38" s="24" t="s">
        <v>67</v>
      </c>
      <c r="B38" s="35">
        <v>302</v>
      </c>
      <c r="C38" s="35">
        <v>17.899999999999999</v>
      </c>
      <c r="D38" s="26">
        <f t="shared" si="0"/>
        <v>11.124922311995027</v>
      </c>
      <c r="E38" s="24" t="s">
        <v>68</v>
      </c>
      <c r="F38" s="27"/>
      <c r="G38" s="28">
        <f t="shared" si="1"/>
        <v>20.315999999999999</v>
      </c>
      <c r="H38" s="29">
        <f t="shared" si="2"/>
        <v>0.28853036414247574</v>
      </c>
      <c r="I38" s="30">
        <f t="shared" si="3"/>
        <v>-7.4866434675150154E-2</v>
      </c>
      <c r="J38" s="29">
        <f t="shared" si="4"/>
        <v>0.26024018124278042</v>
      </c>
      <c r="K38" s="31">
        <f t="shared" si="5"/>
        <v>3.2746889473049894</v>
      </c>
      <c r="L38" s="31">
        <f t="shared" si="7"/>
        <v>8.3333333333333329E-2</v>
      </c>
      <c r="M38" s="32">
        <f t="shared" si="8"/>
        <v>0.4732509283599301</v>
      </c>
      <c r="N38" s="32">
        <f t="shared" si="6"/>
        <v>0.4732509283599301</v>
      </c>
      <c r="O38" s="33"/>
      <c r="P38" s="33"/>
      <c r="Q38" s="11"/>
    </row>
    <row r="39" spans="1:17" s="34" customFormat="1" ht="15.75">
      <c r="A39" s="24" t="s">
        <v>69</v>
      </c>
      <c r="B39" s="35">
        <v>342</v>
      </c>
      <c r="C39" s="35">
        <v>20.6</v>
      </c>
      <c r="D39" s="26">
        <f t="shared" si="0"/>
        <v>12.802983219390928</v>
      </c>
      <c r="E39" s="24" t="s">
        <v>70</v>
      </c>
      <c r="F39" s="27"/>
      <c r="G39" s="28">
        <f t="shared" si="1"/>
        <v>23.336000000000002</v>
      </c>
      <c r="H39" s="29">
        <f t="shared" si="2"/>
        <v>0.33142078054877017</v>
      </c>
      <c r="I39" s="30">
        <f t="shared" si="3"/>
        <v>-8.6489907673509669E-2</v>
      </c>
      <c r="J39" s="29">
        <f t="shared" si="4"/>
        <v>0.30064406494431961</v>
      </c>
      <c r="K39" s="31">
        <f t="shared" si="5"/>
        <v>3.7831044838826915</v>
      </c>
      <c r="L39" s="31">
        <f t="shared" si="7"/>
        <v>8.3333333333333329E-2</v>
      </c>
      <c r="M39" s="32">
        <f t="shared" si="8"/>
        <v>0.49443490905066767</v>
      </c>
      <c r="N39" s="32">
        <f t="shared" si="6"/>
        <v>0.49443490905066767</v>
      </c>
      <c r="O39" s="33"/>
      <c r="P39" s="33"/>
      <c r="Q39" s="11"/>
    </row>
    <row r="40" spans="1:17" s="34" customFormat="1" ht="15.75">
      <c r="A40" s="24" t="s">
        <v>71</v>
      </c>
      <c r="B40" s="35">
        <v>342</v>
      </c>
      <c r="C40" s="35">
        <v>21.7</v>
      </c>
      <c r="D40" s="26">
        <f t="shared" si="0"/>
        <v>13.48663766314481</v>
      </c>
      <c r="E40" s="24" t="s">
        <v>72</v>
      </c>
      <c r="F40" s="27"/>
      <c r="G40" s="28">
        <f t="shared" si="1"/>
        <v>24.436</v>
      </c>
      <c r="H40" s="29">
        <f t="shared" si="2"/>
        <v>0.34704311765040052</v>
      </c>
      <c r="I40" s="30">
        <f t="shared" si="3"/>
        <v>-9.0757416729923157E-2</v>
      </c>
      <c r="J40" s="29">
        <f t="shared" si="4"/>
        <v>0.31547818032746977</v>
      </c>
      <c r="K40" s="31">
        <f t="shared" si="5"/>
        <v>3.9697671024539978</v>
      </c>
      <c r="L40" s="31">
        <f t="shared" si="7"/>
        <v>8.3333333333333329E-2</v>
      </c>
      <c r="M40" s="32">
        <f t="shared" si="8"/>
        <v>0.50221251815780543</v>
      </c>
      <c r="N40" s="32">
        <f t="shared" si="6"/>
        <v>0.50221251815780543</v>
      </c>
      <c r="O40" s="33"/>
      <c r="P40" s="33"/>
      <c r="Q40" s="11"/>
    </row>
    <row r="41" spans="1:17" s="14" customFormat="1" ht="28.9" customHeight="1">
      <c r="A41" s="14" t="s">
        <v>73</v>
      </c>
      <c r="B41" s="36">
        <v>363</v>
      </c>
      <c r="C41" s="36">
        <v>22.7</v>
      </c>
      <c r="D41" s="16">
        <f t="shared" si="0"/>
        <v>14.108141702921069</v>
      </c>
      <c r="E41" s="14" t="s">
        <v>74</v>
      </c>
      <c r="F41" s="7">
        <v>10</v>
      </c>
      <c r="G41" s="18">
        <f t="shared" si="1"/>
        <v>25.603999999999999</v>
      </c>
      <c r="H41" s="19">
        <f t="shared" si="2"/>
        <v>0.36363119922740444</v>
      </c>
      <c r="I41" s="19">
        <f t="shared" si="3"/>
        <v>-9.5308759592869635E-2</v>
      </c>
      <c r="J41" s="19">
        <f t="shared" si="4"/>
        <v>0.33129891890932678</v>
      </c>
      <c r="K41" s="20">
        <f t="shared" si="5"/>
        <v>4.1688447296090319</v>
      </c>
      <c r="L41" s="20">
        <f t="shared" si="7"/>
        <v>0.25</v>
      </c>
      <c r="M41" s="21">
        <f t="shared" si="8"/>
        <v>0.51050741928926513</v>
      </c>
      <c r="N41" s="21">
        <f t="shared" si="6"/>
        <v>0.51745186373370966</v>
      </c>
      <c r="O41" s="22">
        <v>0.41666666666666702</v>
      </c>
      <c r="P41" s="22">
        <v>0.54166666666666696</v>
      </c>
      <c r="Q41" s="23" t="str">
        <f>IF(OR(M41&gt;P41,N41&lt;O41), "CLOSED", "ok")</f>
        <v>ok</v>
      </c>
    </row>
    <row r="42" spans="1:17" s="34" customFormat="1" ht="15.75">
      <c r="A42" s="24" t="s">
        <v>75</v>
      </c>
      <c r="B42" s="35">
        <v>397</v>
      </c>
      <c r="C42" s="35">
        <v>24.5</v>
      </c>
      <c r="D42" s="26">
        <f t="shared" si="0"/>
        <v>15.226848974518335</v>
      </c>
      <c r="E42" s="24" t="s">
        <v>76</v>
      </c>
      <c r="F42" s="27"/>
      <c r="G42" s="28">
        <f t="shared" si="1"/>
        <v>27.676000000000002</v>
      </c>
      <c r="H42" s="29">
        <f t="shared" si="2"/>
        <v>0.39305800147702102</v>
      </c>
      <c r="I42" s="30">
        <f t="shared" si="3"/>
        <v>-0.10343403958201108</v>
      </c>
      <c r="J42" s="29">
        <f t="shared" si="4"/>
        <v>0.35954287557959635</v>
      </c>
      <c r="K42" s="31">
        <f t="shared" si="5"/>
        <v>4.5242478510432571</v>
      </c>
      <c r="L42" s="31">
        <f t="shared" si="7"/>
        <v>0.25</v>
      </c>
      <c r="M42" s="32">
        <f t="shared" si="8"/>
        <v>0.53226032712680238</v>
      </c>
      <c r="N42" s="32">
        <f t="shared" si="6"/>
        <v>0.53226032712680238</v>
      </c>
      <c r="O42" s="33"/>
      <c r="P42" s="33"/>
      <c r="Q42" s="11"/>
    </row>
    <row r="43" spans="1:17" s="34" customFormat="1" ht="15.75">
      <c r="A43" s="24" t="s">
        <v>77</v>
      </c>
      <c r="B43" s="35">
        <v>397</v>
      </c>
      <c r="C43" s="35">
        <v>25.1</v>
      </c>
      <c r="D43" s="26">
        <f t="shared" si="0"/>
        <v>15.59975139838409</v>
      </c>
      <c r="E43" s="24" t="s">
        <v>78</v>
      </c>
      <c r="F43" s="27"/>
      <c r="G43" s="28">
        <f t="shared" si="1"/>
        <v>28.276000000000003</v>
      </c>
      <c r="H43" s="29">
        <f t="shared" si="2"/>
        <v>0.40157927625972856</v>
      </c>
      <c r="I43" s="30">
        <f t="shared" si="3"/>
        <v>-0.10579929975941645</v>
      </c>
      <c r="J43" s="29">
        <f t="shared" si="4"/>
        <v>0.36776466068162705</v>
      </c>
      <c r="K43" s="31">
        <f t="shared" si="5"/>
        <v>4.6277053135771435</v>
      </c>
      <c r="L43" s="31">
        <f t="shared" si="7"/>
        <v>0.25</v>
      </c>
      <c r="M43" s="32">
        <f t="shared" si="8"/>
        <v>0.53657105473238098</v>
      </c>
      <c r="N43" s="32">
        <f t="shared" si="6"/>
        <v>0.53657105473238098</v>
      </c>
      <c r="O43" s="33"/>
      <c r="P43" s="33"/>
      <c r="Q43" s="11"/>
    </row>
    <row r="44" spans="1:17" s="34" customFormat="1" ht="15.75">
      <c r="A44" s="24" t="s">
        <v>79</v>
      </c>
      <c r="B44" s="35">
        <v>418</v>
      </c>
      <c r="C44" s="35">
        <v>26.5</v>
      </c>
      <c r="D44" s="26">
        <f t="shared" si="0"/>
        <v>16.46985705407085</v>
      </c>
      <c r="E44" s="24" t="s">
        <v>80</v>
      </c>
      <c r="F44" s="27"/>
      <c r="G44" s="28">
        <f t="shared" si="1"/>
        <v>29.844000000000001</v>
      </c>
      <c r="H44" s="29">
        <f t="shared" si="2"/>
        <v>0.42384820769187076</v>
      </c>
      <c r="I44" s="30">
        <f t="shared" si="3"/>
        <v>-0.11200705719603417</v>
      </c>
      <c r="J44" s="29">
        <f t="shared" si="4"/>
        <v>0.38934319487290242</v>
      </c>
      <c r="K44" s="31">
        <f t="shared" si="5"/>
        <v>4.8992352021506926</v>
      </c>
      <c r="L44" s="31">
        <f t="shared" si="7"/>
        <v>0.25</v>
      </c>
      <c r="M44" s="32">
        <f t="shared" si="8"/>
        <v>0.54788480008961216</v>
      </c>
      <c r="N44" s="32">
        <f t="shared" si="6"/>
        <v>0.54788480008961216</v>
      </c>
      <c r="O44" s="33"/>
      <c r="P44" s="33"/>
      <c r="Q44" s="11"/>
    </row>
    <row r="45" spans="1:17" s="34" customFormat="1" ht="15.75">
      <c r="A45" s="24" t="s">
        <v>81</v>
      </c>
      <c r="B45" s="35">
        <v>421</v>
      </c>
      <c r="C45" s="35">
        <v>27.7</v>
      </c>
      <c r="D45" s="26">
        <f t="shared" si="0"/>
        <v>17.21566190180236</v>
      </c>
      <c r="E45" s="24" t="s">
        <v>82</v>
      </c>
      <c r="F45" s="27"/>
      <c r="G45" s="28">
        <f t="shared" si="1"/>
        <v>31.067999999999998</v>
      </c>
      <c r="H45" s="29">
        <f t="shared" si="2"/>
        <v>0.44123160824859403</v>
      </c>
      <c r="I45" s="30">
        <f t="shared" si="3"/>
        <v>-0.11687983348620981</v>
      </c>
      <c r="J45" s="29">
        <f t="shared" si="4"/>
        <v>0.40628125517206265</v>
      </c>
      <c r="K45" s="31">
        <f t="shared" si="5"/>
        <v>5.1123724609151253</v>
      </c>
      <c r="L45" s="31">
        <f t="shared" si="7"/>
        <v>0.25</v>
      </c>
      <c r="M45" s="32">
        <f t="shared" si="8"/>
        <v>0.55676551920479689</v>
      </c>
      <c r="N45" s="32">
        <f t="shared" si="6"/>
        <v>0.55676551920479689</v>
      </c>
      <c r="O45" s="33"/>
      <c r="P45" s="33"/>
      <c r="Q45" s="11"/>
    </row>
    <row r="46" spans="1:17" s="34" customFormat="1" ht="15.75">
      <c r="A46" s="24" t="s">
        <v>83</v>
      </c>
      <c r="B46" s="35">
        <v>428</v>
      </c>
      <c r="C46" s="35">
        <v>28.7</v>
      </c>
      <c r="D46" s="26">
        <f t="shared" si="0"/>
        <v>17.837165941578618</v>
      </c>
      <c r="E46" s="24" t="s">
        <v>84</v>
      </c>
      <c r="F46" s="27"/>
      <c r="G46" s="28">
        <f t="shared" si="1"/>
        <v>32.124000000000002</v>
      </c>
      <c r="H46" s="29">
        <f t="shared" si="2"/>
        <v>0.45622905186615925</v>
      </c>
      <c r="I46" s="30">
        <f t="shared" si="3"/>
        <v>-0.12110296135346441</v>
      </c>
      <c r="J46" s="29">
        <f t="shared" si="4"/>
        <v>0.42096109890115857</v>
      </c>
      <c r="K46" s="31">
        <f t="shared" si="5"/>
        <v>5.2970938278395829</v>
      </c>
      <c r="L46" s="31">
        <f t="shared" si="7"/>
        <v>0.25</v>
      </c>
      <c r="M46" s="32">
        <f t="shared" si="8"/>
        <v>0.56446224282664925</v>
      </c>
      <c r="N46" s="32">
        <f t="shared" si="6"/>
        <v>0.56446224282664925</v>
      </c>
      <c r="O46" s="33"/>
      <c r="P46" s="33"/>
      <c r="Q46" s="11"/>
    </row>
    <row r="47" spans="1:17" s="34" customFormat="1" ht="15.75">
      <c r="A47" s="24" t="s">
        <v>85</v>
      </c>
      <c r="B47" s="35">
        <v>433</v>
      </c>
      <c r="C47" s="35">
        <v>29.5</v>
      </c>
      <c r="D47" s="26">
        <f t="shared" si="0"/>
        <v>18.334369173399626</v>
      </c>
      <c r="E47" s="24" t="s">
        <v>86</v>
      </c>
      <c r="F47" s="27"/>
      <c r="G47" s="28">
        <f t="shared" si="1"/>
        <v>32.963999999999999</v>
      </c>
      <c r="H47" s="29">
        <f t="shared" si="2"/>
        <v>0.46815883656194968</v>
      </c>
      <c r="I47" s="30">
        <f t="shared" si="3"/>
        <v>-0.12447505010341874</v>
      </c>
      <c r="J47" s="29">
        <f t="shared" si="4"/>
        <v>0.43268268002442978</v>
      </c>
      <c r="K47" s="31">
        <f t="shared" si="5"/>
        <v>5.444590390307412</v>
      </c>
      <c r="L47" s="31">
        <f t="shared" si="7"/>
        <v>0.25</v>
      </c>
      <c r="M47" s="32">
        <f t="shared" si="8"/>
        <v>0.57060793292947554</v>
      </c>
      <c r="N47" s="32">
        <f t="shared" si="6"/>
        <v>0.57060793292947554</v>
      </c>
      <c r="O47" s="33"/>
      <c r="P47" s="33"/>
      <c r="Q47" s="11"/>
    </row>
    <row r="48" spans="1:17" s="14" customFormat="1" ht="28.9" customHeight="1">
      <c r="A48" s="14" t="s">
        <v>87</v>
      </c>
      <c r="B48" s="36">
        <v>448</v>
      </c>
      <c r="C48" s="36">
        <v>30.5</v>
      </c>
      <c r="D48" s="16">
        <f t="shared" si="0"/>
        <v>18.955873213175884</v>
      </c>
      <c r="E48" s="14" t="s">
        <v>88</v>
      </c>
      <c r="F48" s="7">
        <v>5</v>
      </c>
      <c r="G48" s="18">
        <f t="shared" si="1"/>
        <v>34.084000000000003</v>
      </c>
      <c r="H48" s="19">
        <f t="shared" si="2"/>
        <v>0.48406521615633707</v>
      </c>
      <c r="I48" s="19">
        <f t="shared" si="3"/>
        <v>-0.1289889298638463</v>
      </c>
      <c r="J48" s="19">
        <f t="shared" si="4"/>
        <v>0.44837319463299702</v>
      </c>
      <c r="K48" s="20">
        <f t="shared" si="5"/>
        <v>5.6420293657985496</v>
      </c>
      <c r="L48" s="20">
        <f t="shared" si="7"/>
        <v>0.33333333333333331</v>
      </c>
      <c r="M48" s="21">
        <f t="shared" si="8"/>
        <v>0.5788345569082729</v>
      </c>
      <c r="N48" s="21">
        <f t="shared" si="6"/>
        <v>0.58230677913049511</v>
      </c>
      <c r="O48" s="22">
        <v>0.45833333333333298</v>
      </c>
      <c r="P48" s="22">
        <v>0.61458333333333304</v>
      </c>
      <c r="Q48" s="23" t="str">
        <f>IF(OR(M48&gt;P48,N48&lt;O48), "CLOSED", "ok")</f>
        <v>ok</v>
      </c>
    </row>
    <row r="49" spans="1:17" s="34" customFormat="1" ht="15.75">
      <c r="A49" s="24" t="s">
        <v>89</v>
      </c>
      <c r="B49" s="35">
        <v>493</v>
      </c>
      <c r="C49" s="35">
        <v>31.2</v>
      </c>
      <c r="D49" s="26">
        <f t="shared" si="0"/>
        <v>19.390926041019267</v>
      </c>
      <c r="E49" s="24" t="s">
        <v>90</v>
      </c>
      <c r="F49" s="27"/>
      <c r="G49" s="28">
        <f t="shared" si="1"/>
        <v>35.143999999999998</v>
      </c>
      <c r="H49" s="29">
        <f t="shared" si="2"/>
        <v>0.49911946827245357</v>
      </c>
      <c r="I49" s="30">
        <f t="shared" si="3"/>
        <v>-0.13327984377200355</v>
      </c>
      <c r="J49" s="29">
        <f t="shared" si="4"/>
        <v>0.46328866667332186</v>
      </c>
      <c r="K49" s="31">
        <f t="shared" si="5"/>
        <v>5.8297157223059708</v>
      </c>
      <c r="L49" s="31">
        <f t="shared" si="7"/>
        <v>0.33333333333333331</v>
      </c>
      <c r="M49" s="32">
        <f t="shared" si="8"/>
        <v>0.59012704398497096</v>
      </c>
      <c r="N49" s="32">
        <f t="shared" si="6"/>
        <v>0.59012704398497096</v>
      </c>
      <c r="O49" s="33"/>
      <c r="P49" s="33"/>
      <c r="Q49" s="11"/>
    </row>
    <row r="50" spans="1:17" s="34" customFormat="1" ht="15.75">
      <c r="A50" s="24" t="s">
        <v>91</v>
      </c>
      <c r="B50" s="35">
        <v>493</v>
      </c>
      <c r="C50" s="35">
        <v>31.9</v>
      </c>
      <c r="D50" s="26">
        <f t="shared" si="0"/>
        <v>19.825978868862649</v>
      </c>
      <c r="E50" s="24" t="s">
        <v>92</v>
      </c>
      <c r="F50" s="27"/>
      <c r="G50" s="28">
        <f t="shared" si="1"/>
        <v>35.844000000000001</v>
      </c>
      <c r="H50" s="29">
        <f t="shared" si="2"/>
        <v>0.5090609555189457</v>
      </c>
      <c r="I50" s="30">
        <f t="shared" si="3"/>
        <v>-0.1361235939110898</v>
      </c>
      <c r="J50" s="29">
        <f t="shared" si="4"/>
        <v>0.47317371135076836</v>
      </c>
      <c r="K50" s="31">
        <f t="shared" si="5"/>
        <v>5.9541025344971725</v>
      </c>
      <c r="L50" s="31">
        <f t="shared" si="7"/>
        <v>0.33333333333333331</v>
      </c>
      <c r="M50" s="32">
        <f t="shared" si="8"/>
        <v>0.59530982782627107</v>
      </c>
      <c r="N50" s="32">
        <f t="shared" si="6"/>
        <v>0.59530982782627107</v>
      </c>
      <c r="O50" s="33"/>
      <c r="P50" s="33"/>
      <c r="Q50" s="11"/>
    </row>
    <row r="51" spans="1:17" s="34" customFormat="1" ht="15.75">
      <c r="A51" s="24" t="s">
        <v>93</v>
      </c>
      <c r="B51" s="35">
        <v>495</v>
      </c>
      <c r="C51" s="35">
        <v>33.5</v>
      </c>
      <c r="D51" s="26">
        <f t="shared" si="0"/>
        <v>20.82038533250466</v>
      </c>
      <c r="E51" s="24" t="s">
        <v>94</v>
      </c>
      <c r="F51" s="27"/>
      <c r="G51" s="28">
        <f t="shared" si="1"/>
        <v>37.46</v>
      </c>
      <c r="H51" s="29">
        <f t="shared" si="2"/>
        <v>0.53201158893370459</v>
      </c>
      <c r="I51" s="30">
        <f t="shared" si="3"/>
        <v>-0.14271964388356406</v>
      </c>
      <c r="J51" s="29">
        <f t="shared" si="4"/>
        <v>0.4961019734988375</v>
      </c>
      <c r="K51" s="31">
        <f t="shared" si="5"/>
        <v>6.2426164998603761</v>
      </c>
      <c r="L51" s="31">
        <f t="shared" si="7"/>
        <v>0.33333333333333331</v>
      </c>
      <c r="M51" s="32">
        <f t="shared" si="8"/>
        <v>0.60733124304973785</v>
      </c>
      <c r="N51" s="32">
        <f t="shared" si="6"/>
        <v>0.60733124304973785</v>
      </c>
      <c r="O51" s="33"/>
      <c r="P51" s="33"/>
      <c r="Q51" s="11"/>
    </row>
    <row r="52" spans="1:17" s="34" customFormat="1" ht="15.75">
      <c r="A52" s="24" t="s">
        <v>95</v>
      </c>
      <c r="B52" s="35">
        <v>517</v>
      </c>
      <c r="C52" s="35">
        <v>34.4</v>
      </c>
      <c r="D52" s="26">
        <f t="shared" si="0"/>
        <v>21.379738968303293</v>
      </c>
      <c r="E52" s="24" t="s">
        <v>96</v>
      </c>
      <c r="F52" s="27"/>
      <c r="G52" s="28">
        <f t="shared" si="1"/>
        <v>38.536000000000001</v>
      </c>
      <c r="H52" s="29">
        <f t="shared" si="2"/>
        <v>0.54729307504402669</v>
      </c>
      <c r="I52" s="30">
        <f t="shared" si="3"/>
        <v>-0.14713582179751858</v>
      </c>
      <c r="J52" s="29">
        <f t="shared" si="4"/>
        <v>0.511452870676119</v>
      </c>
      <c r="K52" s="31">
        <f t="shared" si="5"/>
        <v>6.435781956007836</v>
      </c>
      <c r="L52" s="31">
        <f t="shared" si="7"/>
        <v>0.33333333333333331</v>
      </c>
      <c r="M52" s="32">
        <f t="shared" si="8"/>
        <v>0.61537980372254864</v>
      </c>
      <c r="N52" s="32">
        <f t="shared" si="6"/>
        <v>0.61537980372254864</v>
      </c>
      <c r="O52" s="33"/>
      <c r="P52" s="33"/>
      <c r="Q52" s="11"/>
    </row>
    <row r="53" spans="1:17" s="37" customFormat="1" ht="15" customHeight="1">
      <c r="A53" s="37" t="s">
        <v>97</v>
      </c>
      <c r="B53" s="35">
        <v>555</v>
      </c>
      <c r="C53" s="35">
        <v>35.700000000000003</v>
      </c>
      <c r="D53" s="38">
        <f t="shared" si="0"/>
        <v>22.187694220012432</v>
      </c>
      <c r="E53" s="24" t="s">
        <v>98</v>
      </c>
      <c r="F53" s="27"/>
      <c r="G53" s="39">
        <f t="shared" si="1"/>
        <v>40.14</v>
      </c>
      <c r="H53" s="40">
        <f t="shared" si="2"/>
        <v>0.57007328296313131</v>
      </c>
      <c r="I53" s="40">
        <f t="shared" si="3"/>
        <v>-0.15375546546565683</v>
      </c>
      <c r="J53" s="40">
        <f t="shared" si="4"/>
        <v>0.53446314591406507</v>
      </c>
      <c r="K53" s="41">
        <f t="shared" si="5"/>
        <v>6.7253279194186568</v>
      </c>
      <c r="L53" s="41">
        <f t="shared" si="7"/>
        <v>0.33333333333333331</v>
      </c>
      <c r="M53" s="42">
        <f t="shared" si="8"/>
        <v>0.62744421886466628</v>
      </c>
      <c r="N53" s="42">
        <f t="shared" si="6"/>
        <v>0.62744421886466628</v>
      </c>
      <c r="O53" s="33"/>
      <c r="P53" s="33"/>
      <c r="Q53" s="11"/>
    </row>
    <row r="54" spans="1:17" s="34" customFormat="1" ht="15.75">
      <c r="A54" s="24" t="s">
        <v>99</v>
      </c>
      <c r="B54" s="35">
        <v>555</v>
      </c>
      <c r="C54" s="35">
        <v>36.5</v>
      </c>
      <c r="D54" s="26">
        <f t="shared" ref="D54:D75" si="9">C54/1.609</f>
        <v>22.684897451833436</v>
      </c>
      <c r="E54" s="24" t="s">
        <v>100</v>
      </c>
      <c r="F54" s="27"/>
      <c r="G54" s="28">
        <f t="shared" ref="G54:G75" si="10">C54+B54*$A$10/1000</f>
        <v>40.94</v>
      </c>
      <c r="H54" s="29">
        <f t="shared" ref="H54:H75" si="11">G54/G$75</f>
        <v>0.58143498267340799</v>
      </c>
      <c r="I54" s="30">
        <f t="shared" ref="I54:I75" si="12">IF($A$8=0,H54,LN(1-$A$8*H54/H$75/100))</f>
        <v>-0.15707348367305571</v>
      </c>
      <c r="J54" s="29">
        <f t="shared" ref="J54:J75" si="13">I54/I$75</f>
        <v>0.54599677461439022</v>
      </c>
      <c r="K54" s="31">
        <f t="shared" ref="K54:K75" si="14">$A$13*J54</f>
        <v>6.8704594138977484</v>
      </c>
      <c r="L54" s="31">
        <f t="shared" si="7"/>
        <v>0.33333333333333331</v>
      </c>
      <c r="M54" s="32">
        <f t="shared" si="8"/>
        <v>0.63349136446796173</v>
      </c>
      <c r="N54" s="32">
        <f t="shared" ref="N54:N74" si="15">$A$6+(K54+L54)/24</f>
        <v>0.63349136446796173</v>
      </c>
      <c r="O54" s="33"/>
      <c r="P54" s="33"/>
      <c r="Q54" s="11"/>
    </row>
    <row r="55" spans="1:17" s="34" customFormat="1" ht="15.75">
      <c r="A55" s="24" t="s">
        <v>101</v>
      </c>
      <c r="B55" s="35">
        <v>585</v>
      </c>
      <c r="C55" s="35">
        <v>38.9</v>
      </c>
      <c r="D55" s="26">
        <f t="shared" si="9"/>
        <v>24.176507147296455</v>
      </c>
      <c r="E55" s="24" t="s">
        <v>102</v>
      </c>
      <c r="F55" s="27"/>
      <c r="G55" s="28">
        <f t="shared" si="10"/>
        <v>43.58</v>
      </c>
      <c r="H55" s="29">
        <f t="shared" si="11"/>
        <v>0.61892859171732095</v>
      </c>
      <c r="I55" s="30">
        <f t="shared" si="12"/>
        <v>-0.16810171715498112</v>
      </c>
      <c r="J55" s="29">
        <f t="shared" si="13"/>
        <v>0.58433157034196859</v>
      </c>
      <c r="K55" s="31">
        <f t="shared" si="14"/>
        <v>7.35283892680311</v>
      </c>
      <c r="L55" s="31">
        <f t="shared" ref="L55:L75" si="16">L54+F55/60</f>
        <v>0.33333333333333331</v>
      </c>
      <c r="M55" s="32">
        <f t="shared" ref="M55:M75" si="17">$A$6+(K55+L54)/24</f>
        <v>0.65359051083901842</v>
      </c>
      <c r="N55" s="32">
        <f t="shared" si="15"/>
        <v>0.65359051083901842</v>
      </c>
      <c r="O55" s="33"/>
      <c r="P55" s="33"/>
      <c r="Q55" s="11"/>
    </row>
    <row r="56" spans="1:17" s="34" customFormat="1" ht="15.75">
      <c r="A56" s="24" t="s">
        <v>103</v>
      </c>
      <c r="B56" s="35">
        <v>585</v>
      </c>
      <c r="C56" s="35">
        <v>39.6</v>
      </c>
      <c r="D56" s="26">
        <f t="shared" si="9"/>
        <v>24.611559975139841</v>
      </c>
      <c r="E56" s="24" t="s">
        <v>104</v>
      </c>
      <c r="F56" s="27"/>
      <c r="G56" s="28">
        <f t="shared" si="10"/>
        <v>44.28</v>
      </c>
      <c r="H56" s="29">
        <f t="shared" si="11"/>
        <v>0.62887007896381308</v>
      </c>
      <c r="I56" s="30">
        <f t="shared" si="12"/>
        <v>-0.17104638481082643</v>
      </c>
      <c r="J56" s="29">
        <f t="shared" si="13"/>
        <v>0.59456741031193705</v>
      </c>
      <c r="K56" s="31">
        <f t="shared" si="14"/>
        <v>7.4816399130918798</v>
      </c>
      <c r="L56" s="31">
        <f t="shared" si="16"/>
        <v>0.33333333333333331</v>
      </c>
      <c r="M56" s="32">
        <f t="shared" si="17"/>
        <v>0.6589572186010505</v>
      </c>
      <c r="N56" s="32">
        <f t="shared" si="15"/>
        <v>0.6589572186010505</v>
      </c>
      <c r="O56" s="33"/>
      <c r="P56" s="33"/>
      <c r="Q56" s="11"/>
    </row>
    <row r="57" spans="1:17" s="34" customFormat="1" ht="15.75">
      <c r="A57" s="24" t="s">
        <v>105</v>
      </c>
      <c r="B57" s="35">
        <v>585</v>
      </c>
      <c r="C57" s="35">
        <v>40.200000000000003</v>
      </c>
      <c r="D57" s="26">
        <f t="shared" si="9"/>
        <v>24.984462399005597</v>
      </c>
      <c r="E57" s="24" t="s">
        <v>106</v>
      </c>
      <c r="F57" s="27"/>
      <c r="G57" s="28">
        <f t="shared" si="10"/>
        <v>44.88</v>
      </c>
      <c r="H57" s="29">
        <f t="shared" si="11"/>
        <v>0.63739135374652056</v>
      </c>
      <c r="I57" s="30">
        <f t="shared" si="12"/>
        <v>-0.17357730556047607</v>
      </c>
      <c r="J57" s="29">
        <f t="shared" si="13"/>
        <v>0.60336504141935987</v>
      </c>
      <c r="K57" s="31">
        <f t="shared" si="14"/>
        <v>7.5923434378602837</v>
      </c>
      <c r="L57" s="31">
        <f t="shared" si="16"/>
        <v>0.33333333333333331</v>
      </c>
      <c r="M57" s="32">
        <f t="shared" si="17"/>
        <v>0.66356986546640062</v>
      </c>
      <c r="N57" s="32">
        <f t="shared" si="15"/>
        <v>0.66356986546640062</v>
      </c>
      <c r="O57" s="33"/>
      <c r="P57" s="33"/>
      <c r="Q57" s="11"/>
    </row>
    <row r="58" spans="1:17" s="34" customFormat="1" ht="15.75">
      <c r="A58" s="24" t="s">
        <v>107</v>
      </c>
      <c r="B58" s="35">
        <v>600</v>
      </c>
      <c r="C58" s="35">
        <v>41.3</v>
      </c>
      <c r="D58" s="26">
        <f t="shared" si="9"/>
        <v>25.668116842759478</v>
      </c>
      <c r="E58" s="24" t="s">
        <v>108</v>
      </c>
      <c r="F58" s="27"/>
      <c r="G58" s="28">
        <f t="shared" si="10"/>
        <v>46.099999999999994</v>
      </c>
      <c r="H58" s="29">
        <f t="shared" si="11"/>
        <v>0.65471794580469234</v>
      </c>
      <c r="I58" s="30">
        <f t="shared" si="12"/>
        <v>-0.17874334995990471</v>
      </c>
      <c r="J58" s="29">
        <f t="shared" si="13"/>
        <v>0.6213225191147923</v>
      </c>
      <c r="K58" s="31">
        <f t="shared" si="14"/>
        <v>7.8183083655278089</v>
      </c>
      <c r="L58" s="31">
        <f t="shared" si="16"/>
        <v>0.33333333333333331</v>
      </c>
      <c r="M58" s="32">
        <f t="shared" si="17"/>
        <v>0.67298507078588088</v>
      </c>
      <c r="N58" s="32">
        <f t="shared" si="15"/>
        <v>0.67298507078588088</v>
      </c>
      <c r="O58" s="33"/>
      <c r="P58" s="33"/>
      <c r="Q58" s="11"/>
    </row>
    <row r="59" spans="1:17" s="34" customFormat="1" ht="15.75">
      <c r="A59" s="24" t="s">
        <v>109</v>
      </c>
      <c r="B59" s="35">
        <v>614</v>
      </c>
      <c r="C59" s="35">
        <v>42.6</v>
      </c>
      <c r="D59" s="26">
        <f t="shared" si="9"/>
        <v>26.476072094468616</v>
      </c>
      <c r="E59" s="24" t="s">
        <v>110</v>
      </c>
      <c r="F59" s="27"/>
      <c r="G59" s="28">
        <f t="shared" si="10"/>
        <v>47.512</v>
      </c>
      <c r="H59" s="29">
        <f t="shared" si="11"/>
        <v>0.67477134579333076</v>
      </c>
      <c r="I59" s="30">
        <f t="shared" si="12"/>
        <v>-0.18475592119403927</v>
      </c>
      <c r="J59" s="29">
        <f t="shared" si="13"/>
        <v>0.64222257445328534</v>
      </c>
      <c r="K59" s="31">
        <f t="shared" si="14"/>
        <v>8.0813007285371796</v>
      </c>
      <c r="L59" s="31">
        <f t="shared" si="16"/>
        <v>0.33333333333333331</v>
      </c>
      <c r="M59" s="32">
        <f t="shared" si="17"/>
        <v>0.6839430859112714</v>
      </c>
      <c r="N59" s="32">
        <f t="shared" si="15"/>
        <v>0.6839430859112714</v>
      </c>
      <c r="O59" s="33"/>
      <c r="P59" s="33"/>
      <c r="Q59" s="11"/>
    </row>
    <row r="60" spans="1:17" s="34" customFormat="1" ht="15.75">
      <c r="A60" s="24" t="s">
        <v>111</v>
      </c>
      <c r="B60" s="35">
        <v>621</v>
      </c>
      <c r="C60" s="35">
        <v>43.1</v>
      </c>
      <c r="D60" s="26">
        <f t="shared" si="9"/>
        <v>26.786824114356744</v>
      </c>
      <c r="E60" s="24" t="s">
        <v>112</v>
      </c>
      <c r="F60" s="27"/>
      <c r="G60" s="28">
        <f t="shared" si="10"/>
        <v>48.067999999999998</v>
      </c>
      <c r="H60" s="29">
        <f t="shared" si="11"/>
        <v>0.68266772709197299</v>
      </c>
      <c r="I60" s="30">
        <f t="shared" si="12"/>
        <v>-0.18713343345319705</v>
      </c>
      <c r="J60" s="29">
        <f t="shared" si="13"/>
        <v>0.65048694852044675</v>
      </c>
      <c r="K60" s="31">
        <f t="shared" si="14"/>
        <v>8.1852941022156269</v>
      </c>
      <c r="L60" s="31">
        <f t="shared" si="16"/>
        <v>0.33333333333333331</v>
      </c>
      <c r="M60" s="32">
        <f t="shared" si="17"/>
        <v>0.68827614314787333</v>
      </c>
      <c r="N60" s="32">
        <f t="shared" si="15"/>
        <v>0.68827614314787333</v>
      </c>
      <c r="O60" s="33"/>
      <c r="P60" s="33"/>
      <c r="Q60" s="11"/>
    </row>
    <row r="61" spans="1:17" s="14" customFormat="1" ht="28.9" customHeight="1">
      <c r="A61" s="14" t="s">
        <v>113</v>
      </c>
      <c r="B61" s="36">
        <v>635</v>
      </c>
      <c r="C61" s="36">
        <v>44</v>
      </c>
      <c r="D61" s="16">
        <f t="shared" si="9"/>
        <v>27.346177750155377</v>
      </c>
      <c r="E61" s="14" t="s">
        <v>114</v>
      </c>
      <c r="F61" s="7">
        <v>10</v>
      </c>
      <c r="G61" s="18">
        <f t="shared" si="10"/>
        <v>49.08</v>
      </c>
      <c r="H61" s="19">
        <f t="shared" si="11"/>
        <v>0.69704027722547302</v>
      </c>
      <c r="I61" s="19">
        <f t="shared" si="12"/>
        <v>-0.19147540891985082</v>
      </c>
      <c r="J61" s="19">
        <f t="shared" si="13"/>
        <v>0.66557991357610402</v>
      </c>
      <c r="K61" s="20">
        <f t="shared" si="14"/>
        <v>8.3752139124993157</v>
      </c>
      <c r="L61" s="20">
        <f t="shared" si="16"/>
        <v>0.5</v>
      </c>
      <c r="M61" s="21">
        <f t="shared" si="17"/>
        <v>0.69618946857636033</v>
      </c>
      <c r="N61" s="21">
        <f t="shared" si="15"/>
        <v>0.70313391302080475</v>
      </c>
      <c r="O61" s="22">
        <v>0.51041666666666696</v>
      </c>
      <c r="P61" s="22">
        <v>0.75</v>
      </c>
      <c r="Q61" s="23" t="str">
        <f>IF(OR(M61&gt;P61,N61&lt;O61), "CLOSED", "ok")</f>
        <v>ok</v>
      </c>
    </row>
    <row r="62" spans="1:17" s="34" customFormat="1" ht="15.75">
      <c r="A62" s="24" t="s">
        <v>115</v>
      </c>
      <c r="B62" s="35">
        <v>642</v>
      </c>
      <c r="C62" s="35">
        <v>45.6</v>
      </c>
      <c r="D62" s="26">
        <f t="shared" si="9"/>
        <v>28.340584213797392</v>
      </c>
      <c r="E62" s="24" t="s">
        <v>116</v>
      </c>
      <c r="F62" s="27"/>
      <c r="G62" s="28">
        <f t="shared" si="10"/>
        <v>50.736000000000004</v>
      </c>
      <c r="H62" s="29">
        <f t="shared" si="11"/>
        <v>0.72055899562574577</v>
      </c>
      <c r="I62" s="30">
        <f t="shared" si="12"/>
        <v>-0.19862137874356747</v>
      </c>
      <c r="J62" s="29">
        <f t="shared" si="13"/>
        <v>0.69041972984555333</v>
      </c>
      <c r="K62" s="31">
        <f t="shared" si="14"/>
        <v>8.6877816005565531</v>
      </c>
      <c r="L62" s="31">
        <f t="shared" si="16"/>
        <v>0.5</v>
      </c>
      <c r="M62" s="32">
        <f t="shared" si="17"/>
        <v>0.71615756668985631</v>
      </c>
      <c r="N62" s="32">
        <f t="shared" si="15"/>
        <v>0.71615756668985631</v>
      </c>
      <c r="O62" s="33"/>
      <c r="P62" s="33"/>
      <c r="Q62" s="11"/>
    </row>
    <row r="63" spans="1:17" s="34" customFormat="1" ht="15.75">
      <c r="A63" s="24" t="s">
        <v>117</v>
      </c>
      <c r="B63" s="35">
        <v>651</v>
      </c>
      <c r="C63" s="35">
        <v>46.7</v>
      </c>
      <c r="D63" s="26">
        <f t="shared" si="9"/>
        <v>29.024238657551276</v>
      </c>
      <c r="E63" s="24" t="s">
        <v>118</v>
      </c>
      <c r="F63" s="27"/>
      <c r="G63" s="28">
        <f t="shared" si="10"/>
        <v>51.908000000000001</v>
      </c>
      <c r="H63" s="29">
        <f t="shared" si="11"/>
        <v>0.73720388570130102</v>
      </c>
      <c r="I63" s="30">
        <f t="shared" si="12"/>
        <v>-0.2037098295863583</v>
      </c>
      <c r="J63" s="29">
        <f t="shared" si="13"/>
        <v>0.70810748772154586</v>
      </c>
      <c r="K63" s="31">
        <f t="shared" si="14"/>
        <v>8.9103525538294583</v>
      </c>
      <c r="L63" s="31">
        <f t="shared" si="16"/>
        <v>0.5</v>
      </c>
      <c r="M63" s="32">
        <f t="shared" si="17"/>
        <v>0.72543135640956069</v>
      </c>
      <c r="N63" s="32">
        <f t="shared" si="15"/>
        <v>0.72543135640956069</v>
      </c>
      <c r="O63" s="33"/>
      <c r="P63" s="33"/>
      <c r="Q63" s="11"/>
    </row>
    <row r="64" spans="1:17" s="34" customFormat="1" ht="15.75">
      <c r="A64" s="24" t="s">
        <v>119</v>
      </c>
      <c r="B64" s="35">
        <v>656</v>
      </c>
      <c r="C64" s="35">
        <v>48.2</v>
      </c>
      <c r="D64" s="26">
        <f t="shared" si="9"/>
        <v>29.956494717215666</v>
      </c>
      <c r="E64" s="24" t="s">
        <v>120</v>
      </c>
      <c r="F64" s="27"/>
      <c r="G64" s="28">
        <f t="shared" si="10"/>
        <v>53.448</v>
      </c>
      <c r="H64" s="29">
        <f t="shared" si="11"/>
        <v>0.75907515764358358</v>
      </c>
      <c r="I64" s="30">
        <f t="shared" si="12"/>
        <v>-0.21043562687564127</v>
      </c>
      <c r="J64" s="29">
        <f t="shared" si="13"/>
        <v>0.73148675926238993</v>
      </c>
      <c r="K64" s="31">
        <f t="shared" si="14"/>
        <v>9.2045417207184137</v>
      </c>
      <c r="L64" s="31">
        <f t="shared" si="16"/>
        <v>0.5</v>
      </c>
      <c r="M64" s="32">
        <f t="shared" si="17"/>
        <v>0.73768923836326716</v>
      </c>
      <c r="N64" s="32">
        <f t="shared" si="15"/>
        <v>0.73768923836326716</v>
      </c>
      <c r="O64" s="33"/>
      <c r="P64" s="33"/>
      <c r="Q64" s="11"/>
    </row>
    <row r="65" spans="1:17" s="34" customFormat="1" ht="15.75">
      <c r="A65" s="24" t="s">
        <v>121</v>
      </c>
      <c r="B65" s="35">
        <v>656</v>
      </c>
      <c r="C65" s="35">
        <v>50.6</v>
      </c>
      <c r="D65" s="26">
        <f t="shared" si="9"/>
        <v>31.448104412678685</v>
      </c>
      <c r="E65" s="24" t="s">
        <v>122</v>
      </c>
      <c r="F65" s="27"/>
      <c r="G65" s="28">
        <f t="shared" si="10"/>
        <v>55.847999999999999</v>
      </c>
      <c r="H65" s="29">
        <f t="shared" si="11"/>
        <v>0.79316025677441349</v>
      </c>
      <c r="I65" s="30">
        <f t="shared" si="12"/>
        <v>-0.22100841258805487</v>
      </c>
      <c r="J65" s="29">
        <f t="shared" si="13"/>
        <v>0.76823839144546846</v>
      </c>
      <c r="K65" s="31">
        <f t="shared" si="14"/>
        <v>9.6669997590221524</v>
      </c>
      <c r="L65" s="31">
        <f t="shared" si="16"/>
        <v>0.5</v>
      </c>
      <c r="M65" s="32">
        <f t="shared" si="17"/>
        <v>0.75695832329258961</v>
      </c>
      <c r="N65" s="32">
        <f t="shared" si="15"/>
        <v>0.75695832329258961</v>
      </c>
      <c r="O65" s="33"/>
      <c r="P65" s="33"/>
      <c r="Q65" s="11"/>
    </row>
    <row r="66" spans="1:17" s="34" customFormat="1" ht="15.75">
      <c r="A66" s="24" t="s">
        <v>123</v>
      </c>
      <c r="B66" s="35">
        <v>656</v>
      </c>
      <c r="C66" s="35">
        <v>51.8</v>
      </c>
      <c r="D66" s="26">
        <f t="shared" si="9"/>
        <v>32.193909260410194</v>
      </c>
      <c r="E66" s="24" t="s">
        <v>124</v>
      </c>
      <c r="F66" s="27"/>
      <c r="G66" s="28">
        <f t="shared" si="10"/>
        <v>57.047999999999995</v>
      </c>
      <c r="H66" s="29">
        <f t="shared" si="11"/>
        <v>0.81020280633982844</v>
      </c>
      <c r="I66" s="30">
        <f t="shared" si="12"/>
        <v>-0.22633702199927369</v>
      </c>
      <c r="J66" s="29">
        <f t="shared" si="13"/>
        <v>0.78676095479397867</v>
      </c>
      <c r="K66" s="31">
        <f t="shared" si="14"/>
        <v>9.9000753478242398</v>
      </c>
      <c r="L66" s="31">
        <f t="shared" si="16"/>
        <v>0.5</v>
      </c>
      <c r="M66" s="32">
        <f t="shared" si="17"/>
        <v>0.76666980615934333</v>
      </c>
      <c r="N66" s="32">
        <f t="shared" si="15"/>
        <v>0.76666980615934333</v>
      </c>
      <c r="O66" s="33"/>
      <c r="P66" s="33"/>
      <c r="Q66" s="11"/>
    </row>
    <row r="67" spans="1:17" s="34" customFormat="1" ht="15.75">
      <c r="A67" s="24" t="s">
        <v>125</v>
      </c>
      <c r="B67" s="35">
        <v>665</v>
      </c>
      <c r="C67" s="35">
        <v>53.5</v>
      </c>
      <c r="D67" s="26">
        <f t="shared" si="9"/>
        <v>33.250466128029835</v>
      </c>
      <c r="E67" s="24" t="s">
        <v>126</v>
      </c>
      <c r="F67" s="27"/>
      <c r="G67" s="28">
        <f t="shared" si="10"/>
        <v>58.82</v>
      </c>
      <c r="H67" s="29">
        <f t="shared" si="11"/>
        <v>0.83536897119809128</v>
      </c>
      <c r="I67" s="30">
        <f t="shared" si="12"/>
        <v>-0.23425789089715759</v>
      </c>
      <c r="J67" s="29">
        <f t="shared" si="13"/>
        <v>0.8142943663492348</v>
      </c>
      <c r="K67" s="31">
        <f t="shared" si="14"/>
        <v>10.246537443227879</v>
      </c>
      <c r="L67" s="31">
        <f t="shared" si="16"/>
        <v>0.5</v>
      </c>
      <c r="M67" s="32">
        <f t="shared" si="17"/>
        <v>0.78110572680116164</v>
      </c>
      <c r="N67" s="32">
        <f t="shared" si="15"/>
        <v>0.78110572680116164</v>
      </c>
      <c r="O67" s="33"/>
      <c r="P67" s="33"/>
      <c r="Q67" s="11"/>
    </row>
    <row r="68" spans="1:17" s="14" customFormat="1" ht="28.9" customHeight="1">
      <c r="A68" s="14" t="s">
        <v>127</v>
      </c>
      <c r="B68" s="36">
        <v>665</v>
      </c>
      <c r="C68" s="36">
        <v>54.3</v>
      </c>
      <c r="D68" s="16">
        <f t="shared" si="9"/>
        <v>33.747669359850839</v>
      </c>
      <c r="E68" s="14" t="s">
        <v>128</v>
      </c>
      <c r="F68" s="7">
        <v>5</v>
      </c>
      <c r="G68" s="18">
        <f t="shared" si="10"/>
        <v>59.62</v>
      </c>
      <c r="H68" s="19">
        <f t="shared" si="11"/>
        <v>0.84673067090836796</v>
      </c>
      <c r="I68" s="19">
        <f t="shared" si="12"/>
        <v>-0.23785456425844204</v>
      </c>
      <c r="J68" s="19">
        <f t="shared" si="13"/>
        <v>0.82679661694355122</v>
      </c>
      <c r="K68" s="20">
        <f t="shared" si="14"/>
        <v>10.403857429873028</v>
      </c>
      <c r="L68" s="20">
        <f t="shared" si="16"/>
        <v>0.58333333333333337</v>
      </c>
      <c r="M68" s="21">
        <f t="shared" si="17"/>
        <v>0.78766072624470951</v>
      </c>
      <c r="N68" s="21">
        <f t="shared" si="15"/>
        <v>0.79113294846693172</v>
      </c>
      <c r="O68" s="22">
        <v>0.55208333333333304</v>
      </c>
      <c r="P68" s="22">
        <v>0.85416666666666696</v>
      </c>
      <c r="Q68" s="23" t="str">
        <f>IF(OR(M68&gt;P68,N68&lt;O68), "CLOSED", "ok")</f>
        <v>ok</v>
      </c>
    </row>
    <row r="69" spans="1:17" s="34" customFormat="1" ht="15.75">
      <c r="A69" s="24" t="s">
        <v>129</v>
      </c>
      <c r="B69" s="35">
        <v>665</v>
      </c>
      <c r="C69" s="35">
        <v>55.5</v>
      </c>
      <c r="D69" s="26">
        <f t="shared" si="9"/>
        <v>34.493474207582352</v>
      </c>
      <c r="E69" s="24" t="s">
        <v>130</v>
      </c>
      <c r="F69" s="27"/>
      <c r="G69" s="28">
        <f t="shared" si="10"/>
        <v>60.82</v>
      </c>
      <c r="H69" s="29">
        <f t="shared" si="11"/>
        <v>0.86377322047378302</v>
      </c>
      <c r="I69" s="30">
        <f t="shared" si="12"/>
        <v>-0.24327394634638386</v>
      </c>
      <c r="J69" s="29">
        <f t="shared" si="13"/>
        <v>0.84563471151703273</v>
      </c>
      <c r="K69" s="31">
        <f t="shared" si="14"/>
        <v>10.640903453256003</v>
      </c>
      <c r="L69" s="31">
        <f t="shared" si="16"/>
        <v>0.58333333333333337</v>
      </c>
      <c r="M69" s="32">
        <f t="shared" si="17"/>
        <v>0.80100986610788905</v>
      </c>
      <c r="N69" s="32">
        <f t="shared" si="15"/>
        <v>0.80100986610788905</v>
      </c>
      <c r="O69" s="33"/>
      <c r="P69" s="33"/>
      <c r="Q69" s="11"/>
    </row>
    <row r="70" spans="1:17" s="34" customFormat="1" ht="15.75">
      <c r="A70" s="24" t="s">
        <v>131</v>
      </c>
      <c r="B70" s="35">
        <v>714</v>
      </c>
      <c r="C70" s="35">
        <v>57.1</v>
      </c>
      <c r="D70" s="26">
        <f t="shared" si="9"/>
        <v>35.487880671224367</v>
      </c>
      <c r="E70" s="24" t="s">
        <v>132</v>
      </c>
      <c r="F70" s="27"/>
      <c r="G70" s="28">
        <f t="shared" si="10"/>
        <v>62.811999999999998</v>
      </c>
      <c r="H70" s="29">
        <f t="shared" si="11"/>
        <v>0.89206385275237188</v>
      </c>
      <c r="I70" s="30">
        <f t="shared" si="12"/>
        <v>-0.25233547346915391</v>
      </c>
      <c r="J70" s="29">
        <f t="shared" si="13"/>
        <v>0.87713311892748713</v>
      </c>
      <c r="K70" s="31">
        <f t="shared" si="14"/>
        <v>11.037258413170887</v>
      </c>
      <c r="L70" s="31">
        <f t="shared" si="16"/>
        <v>0.58333333333333337</v>
      </c>
      <c r="M70" s="32">
        <f t="shared" si="17"/>
        <v>0.81752465610434255</v>
      </c>
      <c r="N70" s="32">
        <f t="shared" si="15"/>
        <v>0.81752465610434255</v>
      </c>
      <c r="O70" s="33"/>
      <c r="P70" s="33"/>
      <c r="Q70" s="11"/>
    </row>
    <row r="71" spans="1:17" s="14" customFormat="1" ht="28.9" customHeight="1">
      <c r="A71" s="14" t="s">
        <v>133</v>
      </c>
      <c r="B71" s="36">
        <v>724</v>
      </c>
      <c r="C71" s="36">
        <v>57.9</v>
      </c>
      <c r="D71" s="16">
        <f t="shared" si="9"/>
        <v>35.985083903045371</v>
      </c>
      <c r="E71" s="14" t="s">
        <v>134</v>
      </c>
      <c r="F71" s="7">
        <v>5</v>
      </c>
      <c r="G71" s="18">
        <f t="shared" si="10"/>
        <v>63.692</v>
      </c>
      <c r="H71" s="19">
        <f t="shared" si="11"/>
        <v>0.90456172243367616</v>
      </c>
      <c r="I71" s="19">
        <f t="shared" si="12"/>
        <v>-0.25636485674830978</v>
      </c>
      <c r="J71" s="19">
        <f t="shared" si="13"/>
        <v>0.89113949494117228</v>
      </c>
      <c r="K71" s="20">
        <f t="shared" si="14"/>
        <v>11.213505311343093</v>
      </c>
      <c r="L71" s="20">
        <f t="shared" si="16"/>
        <v>0.66666666666666674</v>
      </c>
      <c r="M71" s="21">
        <f t="shared" si="17"/>
        <v>0.82486827686151776</v>
      </c>
      <c r="N71" s="21">
        <f t="shared" si="15"/>
        <v>0.82834049908373997</v>
      </c>
      <c r="O71" s="22">
        <v>0.5625</v>
      </c>
      <c r="P71" s="22">
        <v>0.875</v>
      </c>
      <c r="Q71" s="23" t="str">
        <f>IF(OR(M71&gt;P71,N71&lt;O71), "CLOSED", "ok")</f>
        <v>ok</v>
      </c>
    </row>
    <row r="72" spans="1:17" s="34" customFormat="1" ht="15.75">
      <c r="A72" s="24" t="s">
        <v>135</v>
      </c>
      <c r="B72" s="35">
        <v>752</v>
      </c>
      <c r="C72" s="35">
        <v>58.8</v>
      </c>
      <c r="D72" s="26">
        <f t="shared" si="9"/>
        <v>36.544437538844001</v>
      </c>
      <c r="E72" s="24" t="s">
        <v>136</v>
      </c>
      <c r="F72" s="27"/>
      <c r="G72" s="28">
        <f t="shared" si="10"/>
        <v>64.816000000000003</v>
      </c>
      <c r="H72" s="29">
        <f t="shared" si="11"/>
        <v>0.92052491052661489</v>
      </c>
      <c r="I72" s="30">
        <f t="shared" si="12"/>
        <v>-0.26153520415413667</v>
      </c>
      <c r="J72" s="29">
        <f t="shared" si="13"/>
        <v>0.90911193014286018</v>
      </c>
      <c r="K72" s="31">
        <f t="shared" si="14"/>
        <v>11.439658454297666</v>
      </c>
      <c r="L72" s="31">
        <f t="shared" si="16"/>
        <v>0.66666666666666674</v>
      </c>
      <c r="M72" s="32">
        <f t="shared" si="17"/>
        <v>0.83776354670684716</v>
      </c>
      <c r="N72" s="32">
        <f t="shared" si="15"/>
        <v>0.83776354670684716</v>
      </c>
      <c r="O72" s="33"/>
      <c r="P72" s="33"/>
      <c r="Q72" s="11"/>
    </row>
    <row r="73" spans="1:17" s="34" customFormat="1" ht="15.75">
      <c r="A73" s="24" t="s">
        <v>137</v>
      </c>
      <c r="B73" s="35">
        <v>752</v>
      </c>
      <c r="C73" s="35">
        <v>60.6</v>
      </c>
      <c r="D73" s="26">
        <f t="shared" si="9"/>
        <v>37.663144810441267</v>
      </c>
      <c r="E73" s="24" t="s">
        <v>138</v>
      </c>
      <c r="F73" s="27"/>
      <c r="G73" s="28">
        <f t="shared" si="10"/>
        <v>66.616</v>
      </c>
      <c r="H73" s="29">
        <f t="shared" si="11"/>
        <v>0.94608873487473732</v>
      </c>
      <c r="I73" s="30">
        <f t="shared" si="12"/>
        <v>-0.26987121004180997</v>
      </c>
      <c r="J73" s="29">
        <f t="shared" si="13"/>
        <v>0.93808838257393934</v>
      </c>
      <c r="K73" s="31">
        <f t="shared" si="14"/>
        <v>11.804278814055412</v>
      </c>
      <c r="L73" s="31">
        <f t="shared" si="16"/>
        <v>0.66666666666666674</v>
      </c>
      <c r="M73" s="32">
        <f t="shared" si="17"/>
        <v>0.85295606169675331</v>
      </c>
      <c r="N73" s="32">
        <f t="shared" si="15"/>
        <v>0.85295606169675331</v>
      </c>
      <c r="O73" s="33"/>
      <c r="P73" s="33"/>
      <c r="Q73" s="11"/>
    </row>
    <row r="74" spans="1:17" s="34" customFormat="1" ht="15.75">
      <c r="A74" s="24" t="s">
        <v>139</v>
      </c>
      <c r="B74" s="35">
        <v>759</v>
      </c>
      <c r="C74" s="35">
        <v>63</v>
      </c>
      <c r="D74" s="26">
        <f t="shared" si="9"/>
        <v>39.154754505904286</v>
      </c>
      <c r="E74" s="24" t="s">
        <v>140</v>
      </c>
      <c r="F74" s="27"/>
      <c r="G74" s="28">
        <f t="shared" si="10"/>
        <v>69.072000000000003</v>
      </c>
      <c r="H74" s="29">
        <f t="shared" si="11"/>
        <v>0.98096915298528675</v>
      </c>
      <c r="I74" s="30">
        <f t="shared" si="12"/>
        <v>-0.28135849282078584</v>
      </c>
      <c r="J74" s="29">
        <f t="shared" si="13"/>
        <v>0.97801886097002111</v>
      </c>
      <c r="K74" s="31">
        <f t="shared" si="14"/>
        <v>12.306737333872775</v>
      </c>
      <c r="L74" s="31">
        <f t="shared" si="16"/>
        <v>0.66666666666666674</v>
      </c>
      <c r="M74" s="32">
        <f t="shared" si="17"/>
        <v>0.87389183335581011</v>
      </c>
      <c r="N74" s="32">
        <f t="shared" si="15"/>
        <v>0.87389183335581011</v>
      </c>
      <c r="O74" s="33"/>
      <c r="P74" s="33"/>
      <c r="Q74" s="11"/>
    </row>
    <row r="75" spans="1:17" s="14" customFormat="1" ht="28.9" customHeight="1">
      <c r="A75" s="14" t="s">
        <v>143</v>
      </c>
      <c r="B75" s="36">
        <v>764</v>
      </c>
      <c r="C75" s="36">
        <v>64.3</v>
      </c>
      <c r="D75" s="16">
        <f t="shared" si="9"/>
        <v>39.962709757613425</v>
      </c>
      <c r="E75" s="14" t="s">
        <v>142</v>
      </c>
      <c r="F75" s="7"/>
      <c r="G75" s="18">
        <f t="shared" si="10"/>
        <v>70.411999999999992</v>
      </c>
      <c r="H75" s="19">
        <f t="shared" si="11"/>
        <v>1</v>
      </c>
      <c r="I75" s="19">
        <f t="shared" si="12"/>
        <v>-0.2876820724517809</v>
      </c>
      <c r="J75" s="19">
        <f t="shared" si="13"/>
        <v>1</v>
      </c>
      <c r="K75" s="20">
        <f t="shared" si="14"/>
        <v>12.583333333333343</v>
      </c>
      <c r="L75" s="20">
        <f t="shared" si="16"/>
        <v>0.66666666666666674</v>
      </c>
      <c r="M75" s="21">
        <f t="shared" si="17"/>
        <v>0.88541666666666696</v>
      </c>
      <c r="N75" s="21"/>
      <c r="O75" s="22">
        <v>0.60416666666666696</v>
      </c>
      <c r="P75" s="22">
        <v>0.9375</v>
      </c>
      <c r="Q75" s="23" t="str">
        <f>IF(OR(M75&gt;P75,M75&lt;O75), "CLOSED", "ok")</f>
        <v>ok</v>
      </c>
    </row>
    <row r="77" spans="1:17" ht="160.9" customHeight="1">
      <c r="E77" s="43" t="s">
        <v>141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&amp;C&amp;"TeXGyreTermes,Regular"&amp;12&amp;A</oddHeader>
    <oddFooter>&amp;C&amp;"TeXGyreTermes,Regular"&amp;12Page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2019-05-07T16:02:03Z</dcterms:created>
  <dcterms:modified xsi:type="dcterms:W3CDTF">2023-10-02T15:35:06Z</dcterms:modified>
  <dc:language/>
</cp:coreProperties>
</file>